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harts/chart6.xml" ContentType="application/vnd.openxmlformats-officedocument.drawingml.chart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25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/Users/hwangcindy/AX Project/2026_SVI 보고서 /"/>
    </mc:Choice>
  </mc:AlternateContent>
  <xr:revisionPtr revIDLastSave="0" documentId="13_ncr:1_{FAFF2AF8-B6E3-7E4B-8D83-DB20178A0981}" xr6:coauthVersionLast="47" xr6:coauthVersionMax="47" xr10:uidLastSave="{00000000-0000-0000-0000-000000000000}"/>
  <bookViews>
    <workbookView xWindow="3420" yWindow="-21000" windowWidth="38400" windowHeight="21000" xr2:uid="{D7B96878-0C4C-4F6F-BE9F-9A7B2CEE8DAE}"/>
  </bookViews>
  <sheets>
    <sheet name="측정자 입력파일" sheetId="19" r:id="rId1"/>
    <sheet name="모의측정보고서(Print)" sheetId="22" r:id="rId2"/>
    <sheet name="컨설팅보고서(Print)" sheetId="24" r:id="rId3"/>
    <sheet name="DB취합" sheetId="20" r:id="rId4"/>
    <sheet name="지자체용" sheetId="26" r:id="rId5"/>
    <sheet name="보고서 데이터" sheetId="25" r:id="rId6"/>
    <sheet name="선택" sheetId="21" r:id="rId7"/>
    <sheet name="코드" sheetId="9" r:id="rId8"/>
  </sheets>
  <definedNames>
    <definedName name="거짓말">#REF!</definedName>
    <definedName name="기업명">#REF!</definedName>
    <definedName name="업종분류">#REF!</definedName>
    <definedName name="인증유형">#REF!</definedName>
    <definedName name="젠장">#REF!</definedName>
    <definedName name="조직유형">#REF!</definedName>
    <definedName name="지역">#REF!</definedName>
    <definedName name="취약계층고용">#REF!</definedName>
    <definedName name="Agriculture_Food">#REF!</definedName>
    <definedName name="Community_Development">#REF!</definedName>
    <definedName name="cote">#REF!</definedName>
    <definedName name="COTE1">#REF!</definedName>
    <definedName name="COTE123">#REF!</definedName>
    <definedName name="ddd">#REF!</definedName>
    <definedName name="Education">#REF!</definedName>
    <definedName name="Energy_Environment_Water">#REF!</definedName>
    <definedName name="Financial_Services_n_Microfinance">#REF!</definedName>
    <definedName name="Health_Care">#REF!</definedName>
    <definedName name="SVI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" i="20" l="1"/>
  <c r="C2" i="20"/>
  <c r="D2" i="20"/>
  <c r="E2" i="20"/>
  <c r="F2" i="20"/>
  <c r="G2" i="20"/>
  <c r="H2" i="20"/>
  <c r="I2" i="20"/>
  <c r="J2" i="20"/>
  <c r="K2" i="20"/>
  <c r="L2" i="20"/>
  <c r="M2" i="20"/>
  <c r="N2" i="20"/>
  <c r="AJ2" i="20"/>
  <c r="AK2" i="20"/>
  <c r="AL2" i="20"/>
  <c r="AM2" i="20"/>
  <c r="AN2" i="20"/>
  <c r="AO2" i="20"/>
  <c r="AP2" i="20"/>
  <c r="AS2" i="20"/>
  <c r="AT2" i="20"/>
  <c r="AU2" i="20"/>
  <c r="AV2" i="20"/>
  <c r="AY2" i="20"/>
  <c r="AZ2" i="20"/>
  <c r="BA2" i="20"/>
  <c r="BB2" i="20"/>
  <c r="BM2" i="20"/>
  <c r="BN2" i="20"/>
  <c r="BR2" i="20"/>
  <c r="BS2" i="20"/>
  <c r="BT2" i="20"/>
  <c r="BV2" i="20"/>
  <c r="BW2" i="20"/>
  <c r="CA2" i="20"/>
  <c r="CB2" i="20"/>
  <c r="CD2" i="20"/>
  <c r="CE2" i="20"/>
  <c r="CG2" i="20"/>
  <c r="CH2" i="20"/>
  <c r="CJ2" i="20"/>
  <c r="CK2" i="20"/>
  <c r="CM2" i="20"/>
  <c r="CN2" i="20"/>
  <c r="B3" i="20"/>
  <c r="C3" i="20"/>
  <c r="D3" i="20"/>
  <c r="E3" i="20"/>
  <c r="F3" i="20"/>
  <c r="G3" i="20"/>
  <c r="H3" i="20"/>
  <c r="I3" i="20"/>
  <c r="J3" i="20"/>
  <c r="K3" i="20"/>
  <c r="L3" i="20"/>
  <c r="M3" i="20"/>
  <c r="N3" i="20"/>
  <c r="AJ3" i="20"/>
  <c r="AK3" i="20"/>
  <c r="AL3" i="20"/>
  <c r="AM3" i="20"/>
  <c r="AN3" i="20"/>
  <c r="AO3" i="20"/>
  <c r="AP3" i="20"/>
  <c r="AS3" i="20"/>
  <c r="AT3" i="20"/>
  <c r="AU3" i="20"/>
  <c r="AV3" i="20"/>
  <c r="AY3" i="20"/>
  <c r="AZ3" i="20"/>
  <c r="BA3" i="20"/>
  <c r="BB3" i="20"/>
  <c r="BM3" i="20"/>
  <c r="BN3" i="20"/>
  <c r="BR3" i="20"/>
  <c r="BS3" i="20"/>
  <c r="BT3" i="20"/>
  <c r="BV3" i="20"/>
  <c r="BW3" i="20"/>
  <c r="CA3" i="20"/>
  <c r="CB3" i="20"/>
  <c r="CD3" i="20"/>
  <c r="CE3" i="20"/>
  <c r="CG3" i="20"/>
  <c r="CH3" i="20"/>
  <c r="CJ3" i="20"/>
  <c r="CK3" i="20"/>
  <c r="CM3" i="20"/>
  <c r="CN3" i="20"/>
  <c r="B4" i="20"/>
  <c r="C4" i="20"/>
  <c r="D4" i="20"/>
  <c r="E4" i="20"/>
  <c r="F4" i="20"/>
  <c r="G4" i="20"/>
  <c r="H4" i="20"/>
  <c r="I4" i="20"/>
  <c r="J4" i="20"/>
  <c r="K4" i="20"/>
  <c r="L4" i="20"/>
  <c r="M4" i="20"/>
  <c r="N4" i="20"/>
  <c r="P4" i="20"/>
  <c r="Q4" i="20"/>
  <c r="R4" i="20"/>
  <c r="S4" i="20"/>
  <c r="T4" i="20"/>
  <c r="U4" i="20"/>
  <c r="V4" i="20"/>
  <c r="W4" i="20"/>
  <c r="Z4" i="20"/>
  <c r="AC4" i="20"/>
  <c r="AD4" i="20"/>
  <c r="AE4" i="20"/>
  <c r="AF4" i="20"/>
  <c r="AG4" i="20"/>
  <c r="AJ4" i="20"/>
  <c r="AK4" i="20"/>
  <c r="AL4" i="20"/>
  <c r="AM4" i="20"/>
  <c r="AN4" i="20"/>
  <c r="AO4" i="20"/>
  <c r="AP4" i="20"/>
  <c r="AT4" i="20"/>
  <c r="AU4" i="20"/>
  <c r="AV4" i="20"/>
  <c r="AW4" i="20"/>
  <c r="AX4" i="20"/>
  <c r="BB4" i="20"/>
  <c r="BF4" i="20"/>
  <c r="CM4" i="20"/>
  <c r="CN4" i="20"/>
  <c r="FP8" i="24"/>
  <c r="AA30" i="25"/>
  <c r="CH27" i="24"/>
  <c r="FQ30" i="24" l="1"/>
  <c r="FQ29" i="24"/>
  <c r="W48" i="19" l="1"/>
  <c r="CO3" i="20" s="1"/>
  <c r="W45" i="19"/>
  <c r="CL3" i="20" s="1"/>
  <c r="W43" i="19"/>
  <c r="CI3" i="20" s="1"/>
  <c r="W41" i="19"/>
  <c r="CF3" i="20" s="1"/>
  <c r="W39" i="19"/>
  <c r="CC3" i="20" s="1"/>
  <c r="W36" i="19"/>
  <c r="BZ3" i="20" s="1"/>
  <c r="W34" i="19"/>
  <c r="BY3" i="20" s="1"/>
  <c r="W31" i="19"/>
  <c r="BX3" i="20" s="1"/>
  <c r="W25" i="19"/>
  <c r="BU3" i="20" s="1"/>
  <c r="W23" i="19"/>
  <c r="BQ3" i="20" s="1"/>
  <c r="W22" i="19"/>
  <c r="BP3" i="20" s="1"/>
  <c r="W15" i="19"/>
  <c r="BO3" i="20" s="1"/>
  <c r="W9" i="19"/>
  <c r="BL3" i="20" s="1"/>
  <c r="W5" i="19"/>
  <c r="BK3" i="20" s="1"/>
  <c r="U48" i="19"/>
  <c r="CO2" i="20" s="1"/>
  <c r="U45" i="19"/>
  <c r="CL2" i="20" s="1"/>
  <c r="U43" i="19"/>
  <c r="CI2" i="20" s="1"/>
  <c r="U41" i="19"/>
  <c r="CF2" i="20" s="1"/>
  <c r="U39" i="19"/>
  <c r="CC2" i="20" s="1"/>
  <c r="U36" i="19"/>
  <c r="BZ2" i="20" s="1"/>
  <c r="U34" i="19"/>
  <c r="BY2" i="20" s="1"/>
  <c r="U31" i="19"/>
  <c r="BX2" i="20" s="1"/>
  <c r="U25" i="19"/>
  <c r="BU2" i="20" s="1"/>
  <c r="U23" i="19"/>
  <c r="BQ2" i="20" s="1"/>
  <c r="U22" i="19"/>
  <c r="BP2" i="20" s="1"/>
  <c r="U15" i="19"/>
  <c r="BO2" i="20" s="1"/>
  <c r="U9" i="19"/>
  <c r="BL2" i="20" s="1"/>
  <c r="U5" i="19"/>
  <c r="BK2" i="20" s="1"/>
  <c r="BM41" i="25" l="1"/>
  <c r="CL34" i="25"/>
  <c r="CL35" i="25"/>
  <c r="CL36" i="25"/>
  <c r="CL38" i="25"/>
  <c r="CL39" i="25"/>
  <c r="BM37" i="25"/>
  <c r="BM38" i="25"/>
  <c r="BM39" i="25"/>
  <c r="BM40" i="25"/>
  <c r="BM42" i="25"/>
  <c r="CL37" i="25"/>
  <c r="BM36" i="25"/>
  <c r="BM35" i="25"/>
  <c r="BM34" i="25"/>
  <c r="CL40" i="25"/>
  <c r="CL42" i="25"/>
  <c r="CL47" i="25"/>
  <c r="BM44" i="25"/>
  <c r="BM45" i="25"/>
  <c r="BM46" i="25"/>
  <c r="BM47" i="25"/>
  <c r="CL45" i="25"/>
  <c r="CL46" i="25"/>
  <c r="CL44" i="25"/>
  <c r="CL43" i="25"/>
  <c r="CL41" i="25"/>
  <c r="BM43" i="25"/>
  <c r="W51" i="19"/>
  <c r="CP3" i="20" s="1"/>
  <c r="U51" i="19"/>
  <c r="CP2" i="20" s="1"/>
  <c r="BM48" i="25" l="1"/>
  <c r="BG50" i="25" s="1"/>
  <c r="CL48" i="25"/>
  <c r="CF50" i="25" s="1"/>
  <c r="U52" i="19"/>
  <c r="T51" i="19"/>
  <c r="CQ2" i="20" s="1"/>
  <c r="E27" i="25"/>
  <c r="W52" i="19"/>
  <c r="E29" i="25"/>
  <c r="V51" i="19"/>
  <c r="CQ3" i="20" s="1"/>
  <c r="CH2" i="24"/>
  <c r="BC2" i="24"/>
  <c r="X2" i="24"/>
  <c r="L41" i="19"/>
  <c r="BE4" i="20" s="1"/>
  <c r="M20" i="25"/>
  <c r="M18" i="25"/>
  <c r="M13" i="25"/>
  <c r="M11" i="25"/>
  <c r="E19" i="25"/>
  <c r="J19" i="25" s="1"/>
  <c r="E12" i="25"/>
  <c r="E17" i="25"/>
  <c r="J17" i="25" s="1"/>
  <c r="E10" i="25"/>
  <c r="M15" i="25"/>
  <c r="DM30" i="26"/>
  <c r="DM29" i="26"/>
  <c r="BY49" i="26"/>
  <c r="BY40" i="26"/>
  <c r="BY19" i="26"/>
  <c r="BY18" i="26"/>
  <c r="BY17" i="26"/>
  <c r="BY16" i="26"/>
  <c r="BY15" i="26"/>
  <c r="BY7" i="26"/>
  <c r="BY6" i="26"/>
  <c r="M29" i="25" l="1"/>
  <c r="M27" i="25"/>
  <c r="K28" i="21"/>
  <c r="AA31" i="25" l="1"/>
  <c r="AA27" i="25"/>
  <c r="Q4" i="21" s="1"/>
  <c r="AM27" i="25"/>
  <c r="AA28" i="25"/>
  <c r="AM28" i="25"/>
  <c r="AA29" i="25"/>
  <c r="S7" i="21" s="1"/>
  <c r="AM29" i="25"/>
  <c r="AM30" i="25"/>
  <c r="N11" i="21" l="1"/>
  <c r="K3" i="21"/>
  <c r="P11" i="21"/>
  <c r="Y44" i="19"/>
  <c r="BI4" i="20" s="1"/>
  <c r="EC19" i="24"/>
  <c r="EC17" i="24"/>
  <c r="EC18" i="24"/>
  <c r="EC16" i="24"/>
  <c r="EC15" i="24"/>
  <c r="EC7" i="24"/>
  <c r="EC6" i="24"/>
  <c r="FC31" i="24"/>
  <c r="Y40" i="19"/>
  <c r="BG4" i="20" s="1"/>
  <c r="EI34" i="24"/>
  <c r="EI24" i="24"/>
  <c r="EI14" i="24"/>
  <c r="EI44" i="24"/>
  <c r="DO50" i="24"/>
  <c r="DO32" i="24"/>
  <c r="DO20" i="24"/>
  <c r="DO8" i="24"/>
  <c r="DO41" i="24"/>
  <c r="EC49" i="24"/>
  <c r="EC40" i="24"/>
  <c r="FP18" i="24" l="1"/>
  <c r="DL18" i="26"/>
  <c r="H48" i="19"/>
  <c r="H49" i="19"/>
  <c r="H50" i="19"/>
  <c r="H51" i="19"/>
  <c r="H52" i="19"/>
  <c r="H53" i="19"/>
  <c r="H54" i="19"/>
  <c r="H55" i="19"/>
  <c r="H56" i="19"/>
  <c r="H30" i="19"/>
  <c r="H31" i="19"/>
  <c r="H32" i="19"/>
  <c r="H33" i="19"/>
  <c r="H34" i="19"/>
  <c r="H35" i="19"/>
  <c r="B42" i="19"/>
  <c r="D40" i="19"/>
  <c r="D39" i="19"/>
  <c r="D38" i="19"/>
  <c r="D37" i="19"/>
  <c r="L20" i="19"/>
  <c r="E8" i="25"/>
  <c r="Z48" i="26"/>
  <c r="Z45" i="26"/>
  <c r="Z42" i="26"/>
  <c r="Z39" i="26"/>
  <c r="Z36" i="26"/>
  <c r="Z33" i="26"/>
  <c r="Z30" i="26"/>
  <c r="Z27" i="26"/>
  <c r="Z24" i="26"/>
  <c r="Z21" i="26"/>
  <c r="Z18" i="26"/>
  <c r="Z13" i="26"/>
  <c r="Z10" i="26"/>
  <c r="Z7" i="26"/>
  <c r="B2" i="26"/>
  <c r="B2" i="24"/>
  <c r="E14" i="25"/>
  <c r="J14" i="25" s="1"/>
  <c r="J12" i="25"/>
  <c r="J10" i="25"/>
  <c r="C27" i="19"/>
  <c r="G3" i="21"/>
  <c r="D26" i="19"/>
  <c r="M14" i="25" s="1"/>
  <c r="D25" i="19"/>
  <c r="D24" i="19"/>
  <c r="M7" i="25"/>
  <c r="E7" i="25"/>
  <c r="M6" i="25"/>
  <c r="E6" i="25"/>
  <c r="E5" i="25"/>
  <c r="M3" i="25"/>
  <c r="E3" i="25"/>
  <c r="E2" i="25"/>
  <c r="M17" i="25" l="1"/>
  <c r="M10" i="25"/>
  <c r="M19" i="25"/>
  <c r="M12" i="25"/>
  <c r="Z58" i="19"/>
  <c r="Q51" i="19"/>
  <c r="Y43" i="19"/>
  <c r="AA48" i="19"/>
  <c r="CO4" i="20" s="1"/>
  <c r="Y37" i="19"/>
  <c r="Z37" i="19" s="1"/>
  <c r="C58" i="19"/>
  <c r="D58" i="19" s="1"/>
  <c r="Z59" i="19" s="1"/>
  <c r="Z29" i="19"/>
  <c r="BT4" i="20" s="1"/>
  <c r="Y28" i="19"/>
  <c r="X27" i="19"/>
  <c r="BA4" i="20" s="1"/>
  <c r="X26" i="19"/>
  <c r="AZ4" i="20" s="1"/>
  <c r="X25" i="19"/>
  <c r="AY4" i="20" s="1"/>
  <c r="AA23" i="19"/>
  <c r="BQ4" i="20" s="1"/>
  <c r="Z20" i="19"/>
  <c r="BN4" i="20" s="1"/>
  <c r="Z19" i="19"/>
  <c r="Z18" i="19"/>
  <c r="F58" i="19"/>
  <c r="H47" i="19"/>
  <c r="H46" i="19"/>
  <c r="H45" i="19"/>
  <c r="H44" i="19"/>
  <c r="H43" i="19"/>
  <c r="H42" i="19"/>
  <c r="H41" i="19"/>
  <c r="F37" i="19"/>
  <c r="H29" i="19"/>
  <c r="H28" i="19"/>
  <c r="H27" i="19"/>
  <c r="H26" i="19"/>
  <c r="H25" i="19"/>
  <c r="H24" i="19"/>
  <c r="H23" i="19"/>
  <c r="D31" i="19"/>
  <c r="D32" i="19"/>
  <c r="D33" i="19"/>
  <c r="D34" i="19"/>
  <c r="D35" i="19"/>
  <c r="D36" i="19"/>
  <c r="D30" i="19"/>
  <c r="D22" i="19"/>
  <c r="O2" i="20" l="1"/>
  <c r="O3" i="20"/>
  <c r="O4" i="20"/>
  <c r="BY31" i="26"/>
  <c r="EC31" i="24"/>
  <c r="Y21" i="26"/>
  <c r="BY48" i="26"/>
  <c r="AN38" i="25"/>
  <c r="N16" i="21" s="1"/>
  <c r="P16" i="21" s="1"/>
  <c r="EC48" i="24"/>
  <c r="Z26" i="19"/>
  <c r="Z27" i="19"/>
  <c r="EW13" i="24"/>
  <c r="CS13" i="26"/>
  <c r="CS43" i="26"/>
  <c r="EW43" i="24"/>
  <c r="FO16" i="24"/>
  <c r="DK16" i="26"/>
  <c r="D63" i="19"/>
  <c r="BY29" i="26"/>
  <c r="EC29" i="24"/>
  <c r="Z25" i="19"/>
  <c r="CQ9" i="26"/>
  <c r="EU9" i="24"/>
  <c r="Y48" i="26"/>
  <c r="DM28" i="26"/>
  <c r="AN47" i="25"/>
  <c r="FQ28" i="24" s="1"/>
  <c r="BY30" i="26"/>
  <c r="EC30" i="24"/>
  <c r="Z17" i="19"/>
  <c r="AG95" i="19"/>
  <c r="D73" i="19"/>
  <c r="AK93" i="19"/>
  <c r="AK94" i="19"/>
  <c r="AK95" i="19"/>
  <c r="AI94" i="19"/>
  <c r="AI93" i="19"/>
  <c r="AI95" i="19"/>
  <c r="AG93" i="19"/>
  <c r="AG94" i="19"/>
  <c r="AH95" i="19"/>
  <c r="AH94" i="19"/>
  <c r="AJ95" i="19"/>
  <c r="AJ93" i="19"/>
  <c r="AH93" i="19"/>
  <c r="AJ94" i="19"/>
  <c r="AD96" i="19"/>
  <c r="AE95" i="19"/>
  <c r="AF94" i="19"/>
  <c r="AD95" i="19"/>
  <c r="AE94" i="19"/>
  <c r="AF97" i="19"/>
  <c r="AD93" i="19"/>
  <c r="AD97" i="19"/>
  <c r="AE96" i="19"/>
  <c r="AF95" i="19"/>
  <c r="AF93" i="19"/>
  <c r="AD94" i="19"/>
  <c r="AE93" i="19"/>
  <c r="AE97" i="19"/>
  <c r="AF96" i="19"/>
  <c r="Z28" i="19"/>
  <c r="D64" i="19"/>
  <c r="AA4" i="20" s="1"/>
  <c r="BR4" i="20" l="1"/>
  <c r="CS12" i="26"/>
  <c r="BS4" i="20"/>
  <c r="AS4" i="20"/>
  <c r="D76" i="19"/>
  <c r="AI4" i="20" s="1"/>
  <c r="D66" i="19"/>
  <c r="AB4" i="20" s="1"/>
  <c r="D75" i="19"/>
  <c r="AH4" i="20" s="1"/>
  <c r="CS8" i="26"/>
  <c r="EW8" i="24"/>
  <c r="CS6" i="26"/>
  <c r="EW6" i="24"/>
  <c r="EW7" i="24"/>
  <c r="CS7" i="26"/>
  <c r="N25" i="21"/>
  <c r="P25" i="21" s="1"/>
  <c r="V4" i="21"/>
  <c r="FO12" i="24"/>
  <c r="DK12" i="26"/>
  <c r="FP7" i="24"/>
  <c r="DL7" i="26"/>
  <c r="EU10" i="24"/>
  <c r="EV11" i="24" s="1"/>
  <c r="CQ10" i="26"/>
  <c r="CR11" i="26" s="1"/>
  <c r="EU33" i="24"/>
  <c r="CR33" i="26"/>
  <c r="FO22" i="24"/>
  <c r="DK22" i="26"/>
  <c r="FO17" i="24"/>
  <c r="DK17" i="26"/>
  <c r="Z44" i="19"/>
  <c r="CH4" i="20" s="1"/>
  <c r="EW12" i="24"/>
  <c r="Z43" i="19"/>
  <c r="CG4" i="20" s="1"/>
  <c r="AA25" i="19"/>
  <c r="BU4" i="20" s="1"/>
  <c r="K41" i="19"/>
  <c r="M40" i="19"/>
  <c r="M39" i="19"/>
  <c r="M38" i="19"/>
  <c r="M37" i="19"/>
  <c r="M36" i="19"/>
  <c r="M35" i="19"/>
  <c r="M34" i="19"/>
  <c r="M33" i="19"/>
  <c r="M32" i="19"/>
  <c r="M31" i="19"/>
  <c r="M30" i="19"/>
  <c r="M29" i="19"/>
  <c r="M28" i="19"/>
  <c r="M27" i="19"/>
  <c r="M26" i="19"/>
  <c r="Y42" i="19"/>
  <c r="BH4" i="20" s="1"/>
  <c r="Y41" i="19"/>
  <c r="Z40" i="19"/>
  <c r="CB4" i="20" s="1"/>
  <c r="O20" i="19"/>
  <c r="O21" i="19" s="1"/>
  <c r="Y32" i="19" s="1"/>
  <c r="BD4" i="20" s="1"/>
  <c r="K20" i="19"/>
  <c r="N20" i="19"/>
  <c r="M20" i="19"/>
  <c r="Y39" i="19"/>
  <c r="DL6" i="26" s="1"/>
  <c r="AA22" i="19"/>
  <c r="BP4" i="20" s="1"/>
  <c r="Y15" i="19"/>
  <c r="Z15" i="19" s="1"/>
  <c r="AA9" i="19"/>
  <c r="BL4" i="20" s="1"/>
  <c r="AA5" i="19"/>
  <c r="BK4" i="20" s="1"/>
  <c r="AQ4" i="20" l="1"/>
  <c r="Y34" i="19"/>
  <c r="EU32" i="24" s="1"/>
  <c r="Z32" i="19"/>
  <c r="BW4" i="20" s="1"/>
  <c r="Y46" i="19"/>
  <c r="BJ4" i="20" s="1"/>
  <c r="Z42" i="19"/>
  <c r="CE4" i="20" s="1"/>
  <c r="DL13" i="26"/>
  <c r="FP13" i="24"/>
  <c r="BY5" i="26"/>
  <c r="AN34" i="25"/>
  <c r="N12" i="21" s="1"/>
  <c r="P12" i="21" s="1"/>
  <c r="Y10" i="26"/>
  <c r="BY14" i="26"/>
  <c r="AN35" i="25"/>
  <c r="N13" i="21" s="1"/>
  <c r="P13" i="21" s="1"/>
  <c r="AB4" i="21"/>
  <c r="W4" i="21"/>
  <c r="Z41" i="19"/>
  <c r="CD4" i="20" s="1"/>
  <c r="DK11" i="26"/>
  <c r="FO11" i="24"/>
  <c r="CS23" i="26"/>
  <c r="EW23" i="24"/>
  <c r="Y18" i="26"/>
  <c r="BY39" i="26"/>
  <c r="AN37" i="25"/>
  <c r="N15" i="21" s="1"/>
  <c r="P15" i="21" s="1"/>
  <c r="DL8" i="26"/>
  <c r="AN39" i="25"/>
  <c r="N17" i="21" s="1"/>
  <c r="P17" i="21" s="1"/>
  <c r="CS5" i="26"/>
  <c r="CR32" i="26"/>
  <c r="EW5" i="24"/>
  <c r="Y7" i="26"/>
  <c r="EC5" i="24"/>
  <c r="Z39" i="19"/>
  <c r="CA4" i="20" s="1"/>
  <c r="FP6" i="24"/>
  <c r="Y24" i="26"/>
  <c r="Y45" i="19"/>
  <c r="K21" i="19"/>
  <c r="Y31" i="19" s="1"/>
  <c r="BC4" i="20" s="1"/>
  <c r="D61" i="19"/>
  <c r="X4" i="20" s="1"/>
  <c r="D62" i="19" l="1"/>
  <c r="Y4" i="20" s="1"/>
  <c r="AA41" i="19"/>
  <c r="FQ10" i="24" s="1"/>
  <c r="CS22" i="26"/>
  <c r="EW22" i="24"/>
  <c r="Z45" i="19"/>
  <c r="CJ4" i="20" s="1"/>
  <c r="DK21" i="26"/>
  <c r="FO21" i="24"/>
  <c r="DL23" i="26"/>
  <c r="AA39" i="19"/>
  <c r="FP23" i="24"/>
  <c r="Z46" i="19"/>
  <c r="CK4" i="20" s="1"/>
  <c r="EC39" i="24"/>
  <c r="EC14" i="24"/>
  <c r="AA43" i="19"/>
  <c r="Y36" i="19"/>
  <c r="CR42" i="26" s="1"/>
  <c r="Z31" i="19"/>
  <c r="BV4" i="20" s="1"/>
  <c r="DM5" i="26" l="1"/>
  <c r="CC4" i="20"/>
  <c r="DM10" i="26"/>
  <c r="CF4" i="20"/>
  <c r="DM15" i="26"/>
  <c r="CI4" i="20"/>
  <c r="Y39" i="26"/>
  <c r="AN44" i="25"/>
  <c r="N22" i="21" s="1"/>
  <c r="P22" i="21" s="1"/>
  <c r="Y16" i="19"/>
  <c r="AR4" i="20" s="1"/>
  <c r="AA31" i="19"/>
  <c r="BX4" i="20" s="1"/>
  <c r="AN43" i="25"/>
  <c r="AN45" i="25"/>
  <c r="N23" i="21" s="1"/>
  <c r="P23" i="21" s="1"/>
  <c r="FQ5" i="24"/>
  <c r="Y36" i="26"/>
  <c r="Y42" i="26"/>
  <c r="FQ15" i="24"/>
  <c r="Z36" i="19"/>
  <c r="AA36" i="19" s="1"/>
  <c r="BZ4" i="20" s="1"/>
  <c r="EV42" i="24"/>
  <c r="AA45" i="19"/>
  <c r="CL4" i="20" s="1"/>
  <c r="AA34" i="19"/>
  <c r="CS31" i="26" l="1"/>
  <c r="BY4" i="20"/>
  <c r="Z16" i="19"/>
  <c r="Y27" i="26"/>
  <c r="CS21" i="26"/>
  <c r="AN40" i="25"/>
  <c r="N18" i="21" s="1"/>
  <c r="P18" i="21" s="1"/>
  <c r="EW21" i="24"/>
  <c r="AN46" i="25"/>
  <c r="N24" i="21" s="1"/>
  <c r="P24" i="21" s="1"/>
  <c r="DM20" i="26"/>
  <c r="CS41" i="26"/>
  <c r="AN42" i="25"/>
  <c r="Y33" i="26"/>
  <c r="N21" i="21"/>
  <c r="P21" i="21" s="1"/>
  <c r="AN41" i="25"/>
  <c r="Y45" i="26"/>
  <c r="Y30" i="26"/>
  <c r="EW31" i="24"/>
  <c r="AA15" i="19" l="1"/>
  <c r="AA51" i="19" s="1"/>
  <c r="CP4" i="20" s="1"/>
  <c r="BM4" i="20"/>
  <c r="EC28" i="24"/>
  <c r="BY28" i="26"/>
  <c r="T4" i="21"/>
  <c r="U4" i="21" s="1"/>
  <c r="N20" i="21"/>
  <c r="P20" i="21" s="1"/>
  <c r="EW41" i="24"/>
  <c r="N19" i="21"/>
  <c r="P19" i="21" s="1"/>
  <c r="FQ20" i="24"/>
  <c r="BY27" i="26" l="1"/>
  <c r="Y13" i="26"/>
  <c r="AN36" i="25"/>
  <c r="BO4" i="20"/>
  <c r="AA4" i="21"/>
  <c r="Z51" i="19"/>
  <c r="E25" i="25"/>
  <c r="L28" i="21"/>
  <c r="AA59" i="19"/>
  <c r="M27" i="22" s="1"/>
  <c r="AA52" i="19"/>
  <c r="AB58" i="19"/>
  <c r="M4" i="22" l="1"/>
  <c r="CQ4" i="20"/>
  <c r="N14" i="21"/>
  <c r="P14" i="21" s="1"/>
  <c r="R4" i="21"/>
  <c r="AN48" i="25"/>
  <c r="EC27" i="24"/>
  <c r="M25" i="25"/>
  <c r="K4" i="21" l="1"/>
  <c r="AH50" i="25"/>
  <c r="S4" i="21"/>
  <c r="Z4" i="21"/>
  <c r="X4" i="21" s="1"/>
  <c r="AE4" i="22" s="1"/>
</calcChain>
</file>

<file path=xl/sharedStrings.xml><?xml version="1.0" encoding="utf-8"?>
<sst xmlns="http://schemas.openxmlformats.org/spreadsheetml/2006/main" count="988" uniqueCount="563">
  <si>
    <t>제조업(C)</t>
  </si>
  <si>
    <t>건설업(F)</t>
  </si>
  <si>
    <t>이윤의 사회적 환원 노력도(지표  6)</t>
    <phoneticPr fontId="1" type="noConversion"/>
  </si>
  <si>
    <t>업종  분류</t>
  </si>
  <si>
    <t>사회서비스  제공  +  지역사회  재투자 평균값</t>
  </si>
  <si>
    <t>사업활동의 사회적 가치 지향성(지표3)</t>
    <phoneticPr fontId="1" type="noConversion"/>
  </si>
  <si>
    <t>취약계층  고용비율 중위  값</t>
  </si>
  <si>
    <t>취약계층 평균시급  중위  값</t>
  </si>
  <si>
    <t>업종 분류와 기업규모 기준</t>
    <phoneticPr fontId="1" type="noConversion"/>
  </si>
  <si>
    <t>소기업</t>
    <phoneticPr fontId="1" type="noConversion"/>
  </si>
  <si>
    <t>광업(B)</t>
    <phoneticPr fontId="1" type="noConversion"/>
  </si>
  <si>
    <t>전기, 가스, 증기 및 공기조절 공급업(D)</t>
    <phoneticPr fontId="1" type="noConversion"/>
  </si>
  <si>
    <t>수도, 하수, 폐기물 처리, 원료 재생업(E)</t>
  </si>
  <si>
    <t>운수 및 창고업(H)</t>
    <phoneticPr fontId="1" type="noConversion"/>
  </si>
  <si>
    <t>숙박 및 음식점업(I)</t>
    <phoneticPr fontId="1" type="noConversion"/>
  </si>
  <si>
    <t>농업, 임업 및 어업(A)</t>
    <phoneticPr fontId="1" type="noConversion"/>
  </si>
  <si>
    <t>도매 및 소매업(G)</t>
    <phoneticPr fontId="1" type="noConversion"/>
  </si>
  <si>
    <t>정보통신업(J)</t>
    <phoneticPr fontId="1" type="noConversion"/>
  </si>
  <si>
    <t>금융 및 보험업(K)</t>
    <phoneticPr fontId="1" type="noConversion"/>
  </si>
  <si>
    <t>부동산업(L)</t>
    <phoneticPr fontId="1" type="noConversion"/>
  </si>
  <si>
    <t>전문, 과학 및 기술 서비스업(M)</t>
    <phoneticPr fontId="1" type="noConversion"/>
  </si>
  <si>
    <t>교육 서비스업(P)</t>
    <phoneticPr fontId="1" type="noConversion"/>
  </si>
  <si>
    <t>보건업 및 사회복지 서비스업(Q)</t>
    <phoneticPr fontId="1" type="noConversion"/>
  </si>
  <si>
    <t>예술, 스포츠 및 여가관련 서비스업(R)</t>
    <phoneticPr fontId="1" type="noConversion"/>
  </si>
  <si>
    <t>협회 및 단체, 수리 및 기타 개인 서비스업(S)</t>
    <phoneticPr fontId="1" type="noConversion"/>
  </si>
  <si>
    <t>20%  미만</t>
    <phoneticPr fontId="1" type="noConversion"/>
  </si>
  <si>
    <t>20% 미만</t>
    <phoneticPr fontId="1" type="noConversion"/>
  </si>
  <si>
    <t>80%  이상</t>
    <phoneticPr fontId="1" type="noConversion"/>
  </si>
  <si>
    <t>사업시설 관리, 사업 지원 및 임대 서비스업(N)</t>
    <phoneticPr fontId="1" type="noConversion"/>
  </si>
  <si>
    <t>고용성과(지표10)_소기업</t>
    <phoneticPr fontId="1" type="noConversion"/>
  </si>
  <si>
    <t>고용성과(지표10)_중기업</t>
    <phoneticPr fontId="1" type="noConversion"/>
  </si>
  <si>
    <t>매출성과(지표11)_중기업</t>
    <phoneticPr fontId="1" type="noConversion"/>
  </si>
  <si>
    <r>
      <rPr>
        <sz val="11"/>
        <rFont val="맑은 고딕"/>
        <family val="3"/>
        <charset val="129"/>
        <scheme val="major"/>
      </rPr>
      <t>20%  이상
40%  미만</t>
    </r>
  </si>
  <si>
    <r>
      <rPr>
        <sz val="11"/>
        <rFont val="맑은 고딕"/>
        <family val="3"/>
        <charset val="129"/>
        <scheme val="major"/>
      </rPr>
      <t>40%  이상
60%  미만</t>
    </r>
  </si>
  <si>
    <r>
      <rPr>
        <sz val="11"/>
        <rFont val="맑은 고딕"/>
        <family val="3"/>
        <charset val="129"/>
        <scheme val="major"/>
      </rPr>
      <t>60%  이상
80%  미만</t>
    </r>
  </si>
  <si>
    <t>매출성과(지표11)_소기업</t>
    <phoneticPr fontId="1" type="noConversion"/>
  </si>
  <si>
    <t>매출액 성장률(지표11)_소기업</t>
    <phoneticPr fontId="1" type="noConversion"/>
  </si>
  <si>
    <t>60% 이상</t>
    <phoneticPr fontId="1" type="noConversion"/>
  </si>
  <si>
    <t>매출액 성장률(지표11)_중기업</t>
    <phoneticPr fontId="1" type="noConversion"/>
  </si>
  <si>
    <t>영업성과(지표12)_소기업</t>
    <phoneticPr fontId="1" type="noConversion"/>
  </si>
  <si>
    <t>20%  이상
60% 미만</t>
    <phoneticPr fontId="1" type="noConversion"/>
  </si>
  <si>
    <t>영업성과(지표12)_중기업</t>
    <phoneticPr fontId="1" type="noConversion"/>
  </si>
  <si>
    <t>20%  이상
60%  미만</t>
    <phoneticPr fontId="1" type="noConversion"/>
  </si>
  <si>
    <t>영업이익 성장률(지표12)_소기업</t>
    <phoneticPr fontId="1" type="noConversion"/>
  </si>
  <si>
    <t>영업이익 성장률(지표12)_중기업</t>
    <phoneticPr fontId="1" type="noConversion"/>
  </si>
  <si>
    <t>노동생산성-시간당 매출액(지표13)_소기업</t>
    <phoneticPr fontId="1" type="noConversion"/>
  </si>
  <si>
    <t>노동생산성-시간당 매출액(지표13)_중기업</t>
    <phoneticPr fontId="1" type="noConversion"/>
  </si>
  <si>
    <t>노동생산성 성장율(지표13)_소기업</t>
    <phoneticPr fontId="1" type="noConversion"/>
  </si>
  <si>
    <t>노동생산성 성장율(지표13)_중기업</t>
    <phoneticPr fontId="1" type="noConversion"/>
  </si>
  <si>
    <t>지표1</t>
    <phoneticPr fontId="10" type="noConversion"/>
  </si>
  <si>
    <t xml:space="preserve"> 사회적가치 추구 여부</t>
    <phoneticPr fontId="10" type="noConversion"/>
  </si>
  <si>
    <t>지표3</t>
    <phoneticPr fontId="1" type="noConversion"/>
  </si>
  <si>
    <t>지표3</t>
    <phoneticPr fontId="10" type="noConversion"/>
  </si>
  <si>
    <t xml:space="preserve"> 사업활동의 사회적가치 지향성</t>
    <phoneticPr fontId="10" type="noConversion"/>
  </si>
  <si>
    <t>지표6</t>
    <phoneticPr fontId="1" type="noConversion"/>
  </si>
  <si>
    <t>지표6</t>
    <phoneticPr fontId="10" type="noConversion"/>
  </si>
  <si>
    <t xml:space="preserve"> 사회적환원 노력도</t>
    <phoneticPr fontId="10" type="noConversion"/>
  </si>
  <si>
    <t>지표8</t>
    <phoneticPr fontId="10" type="noConversion"/>
  </si>
  <si>
    <t xml:space="preserve"> 근로자 임금수준</t>
    <phoneticPr fontId="10" type="noConversion"/>
  </si>
  <si>
    <t>지표14</t>
    <phoneticPr fontId="10" type="noConversion"/>
  </si>
  <si>
    <t>혁신 노력도</t>
    <phoneticPr fontId="10" type="noConversion"/>
  </si>
  <si>
    <t>기업명</t>
    <phoneticPr fontId="10" type="noConversion"/>
  </si>
  <si>
    <t>대표자명</t>
    <phoneticPr fontId="10" type="noConversion"/>
  </si>
  <si>
    <t>내부</t>
    <phoneticPr fontId="10" type="noConversion"/>
  </si>
  <si>
    <t>취약계층 고용률, 임금 또는 사회적목적실현 기술</t>
    <phoneticPr fontId="10" type="noConversion"/>
  </si>
  <si>
    <t xml:space="preserve"> 복리후생비</t>
    <phoneticPr fontId="10" type="noConversion"/>
  </si>
  <si>
    <t xml:space="preserve">  우리기업 근로자 임금(시급) 평균</t>
    <phoneticPr fontId="10" type="noConversion"/>
  </si>
  <si>
    <t xml:space="preserve">  과정의 혁신</t>
    <phoneticPr fontId="10" type="noConversion"/>
  </si>
  <si>
    <t>조직 유형</t>
    <phoneticPr fontId="10" type="noConversion"/>
  </si>
  <si>
    <t>설립년도</t>
    <phoneticPr fontId="10" type="noConversion"/>
  </si>
  <si>
    <t>근로자 보건 및 안전</t>
    <phoneticPr fontId="10" type="noConversion"/>
  </si>
  <si>
    <t xml:space="preserve"> 근로자 성과급</t>
    <phoneticPr fontId="10" type="noConversion"/>
  </si>
  <si>
    <t xml:space="preserve">  동종없종 근로자 임금(시급) 평균의 100%</t>
    <phoneticPr fontId="10" type="noConversion"/>
  </si>
  <si>
    <t xml:space="preserve">  혁신의 결과</t>
    <phoneticPr fontId="10" type="noConversion"/>
  </si>
  <si>
    <t>주업종</t>
    <phoneticPr fontId="10" type="noConversion"/>
  </si>
  <si>
    <t>사업자등록번호</t>
    <phoneticPr fontId="10" type="noConversion"/>
  </si>
  <si>
    <t>측정의견 및 
Tip</t>
    <phoneticPr fontId="10" type="noConversion"/>
  </si>
  <si>
    <t>고용의질</t>
    <phoneticPr fontId="10" type="noConversion"/>
  </si>
  <si>
    <t>인증번호</t>
    <phoneticPr fontId="10" type="noConversion"/>
  </si>
  <si>
    <t>전화번호</t>
    <phoneticPr fontId="10" type="noConversion"/>
  </si>
  <si>
    <t>외부</t>
    <phoneticPr fontId="10" type="noConversion"/>
  </si>
  <si>
    <t xml:space="preserve">외부 운영(제품,서비스 및 이용자)의 사회적가치 </t>
    <phoneticPr fontId="10" type="noConversion"/>
  </si>
  <si>
    <t xml:space="preserve"> 시설투자비</t>
    <phoneticPr fontId="10" type="noConversion"/>
  </si>
  <si>
    <t>주소</t>
    <phoneticPr fontId="10" type="noConversion"/>
  </si>
  <si>
    <t>비금전</t>
    <phoneticPr fontId="10" type="noConversion"/>
  </si>
  <si>
    <t>측정지표</t>
  </si>
  <si>
    <t>배점</t>
  </si>
  <si>
    <t>평가점수</t>
    <phoneticPr fontId="10" type="noConversion"/>
  </si>
  <si>
    <t>지표9</t>
    <phoneticPr fontId="10" type="noConversion"/>
  </si>
  <si>
    <t>1. 사회적 가치 추구 여부</t>
  </si>
  <si>
    <t>2. 사회적 성과 관리체계 구축여부</t>
  </si>
  <si>
    <t>3. 사업활동의 사회적 가치 지향성</t>
  </si>
  <si>
    <t>4. 사회적경제기업과의 협력 수준</t>
  </si>
  <si>
    <t>5. 지역사회와의 협력 수준</t>
  </si>
  <si>
    <t>6. 사회적 환원 노력도</t>
  </si>
  <si>
    <t>지표2</t>
    <phoneticPr fontId="10" type="noConversion"/>
  </si>
  <si>
    <t xml:space="preserve"> 사회적 성과 관리체계 구축 여부</t>
    <phoneticPr fontId="10" type="noConversion"/>
  </si>
  <si>
    <t>지표4</t>
    <phoneticPr fontId="10" type="noConversion"/>
  </si>
  <si>
    <t>사회적경제기업과의 협력수준</t>
    <phoneticPr fontId="10" type="noConversion"/>
  </si>
  <si>
    <t>7. 참여적 의사결정 비율</t>
  </si>
  <si>
    <t xml:space="preserve"> 측정기준</t>
    <phoneticPr fontId="10" type="noConversion"/>
  </si>
  <si>
    <t>지표10</t>
    <phoneticPr fontId="10" type="noConversion"/>
  </si>
  <si>
    <t>고용성과</t>
    <phoneticPr fontId="10" type="noConversion"/>
  </si>
  <si>
    <t>8. 근로자 임금수준</t>
  </si>
  <si>
    <t xml:space="preserve"> 담당인력</t>
    <phoneticPr fontId="10" type="noConversion"/>
  </si>
  <si>
    <t>9. 근로자 역량강화 노력</t>
  </si>
  <si>
    <t xml:space="preserve"> 성과보고서</t>
    <phoneticPr fontId="10" type="noConversion"/>
  </si>
  <si>
    <t>지표7</t>
    <phoneticPr fontId="10" type="noConversion"/>
  </si>
  <si>
    <t>참여적 의사결정 비율</t>
    <phoneticPr fontId="10" type="noConversion"/>
  </si>
  <si>
    <t xml:space="preserve">  동종업종 유급근로자수 분포의 100%</t>
    <phoneticPr fontId="10" type="noConversion"/>
  </si>
  <si>
    <t>10. 고용성과</t>
  </si>
  <si>
    <t xml:space="preserve"> 평가위원회</t>
    <phoneticPr fontId="10" type="noConversion"/>
  </si>
  <si>
    <t xml:space="preserve"> 의사결정기구 참가비율</t>
    <phoneticPr fontId="10" type="noConversion"/>
  </si>
  <si>
    <t>11. 매출성과</t>
  </si>
  <si>
    <t xml:space="preserve"> 평가결과 사내공유</t>
    <phoneticPr fontId="10" type="noConversion"/>
  </si>
  <si>
    <t xml:space="preserve"> 회의결과 공유 비율</t>
    <phoneticPr fontId="10" type="noConversion"/>
  </si>
  <si>
    <t>12. 영업성과</t>
  </si>
  <si>
    <t>지표11</t>
  </si>
  <si>
    <t>매출성과</t>
    <phoneticPr fontId="10" type="noConversion"/>
  </si>
  <si>
    <t>13. 노동생산성</t>
  </si>
  <si>
    <t>지표5</t>
    <phoneticPr fontId="10" type="noConversion"/>
  </si>
  <si>
    <t>지역사회와의 협력수준</t>
    <phoneticPr fontId="10" type="noConversion"/>
  </si>
  <si>
    <t>14. 혁신노력도</t>
  </si>
  <si>
    <t xml:space="preserve">  동종업종의 매출액 분포의 100%</t>
    <phoneticPr fontId="10" type="noConversion"/>
  </si>
  <si>
    <t>총 점</t>
  </si>
  <si>
    <t xml:space="preserve">  우리기업 매출액 성장율</t>
    <phoneticPr fontId="10" type="noConversion"/>
  </si>
  <si>
    <t>평가등급</t>
    <phoneticPr fontId="10" type="noConversion"/>
  </si>
  <si>
    <t>지표12</t>
  </si>
  <si>
    <t>영업성과</t>
    <phoneticPr fontId="10" type="noConversion"/>
  </si>
  <si>
    <t>지표13</t>
  </si>
  <si>
    <t xml:space="preserve"> 노동생산성</t>
    <phoneticPr fontId="10" type="noConversion"/>
  </si>
  <si>
    <t>구분</t>
  </si>
  <si>
    <t>사회적 성과</t>
  </si>
  <si>
    <t>경제적 성과</t>
  </si>
  <si>
    <t>혁신성과</t>
  </si>
  <si>
    <t>가장 낮은 영역</t>
    <phoneticPr fontId="10" type="noConversion"/>
  </si>
  <si>
    <t xml:space="preserve"> 사회적가치 및 목적을 명시적으로 기재한 문서 있고, 대회적 공표함</t>
  </si>
  <si>
    <t xml:space="preserve"> 사회적경제기업과의 협력기관은 매년 측정되는 항목임. 올해 인정된 기업과의 지속적인 협력활동을 유지하거나, 새로운 협력관계를 모색할때 사회적경제영역을 계속 고려하면서 사업을 진행해야함</t>
    <phoneticPr fontId="10" type="noConversion"/>
  </si>
  <si>
    <t xml:space="preserve"> 사회적가치 및 목적을 명시적으로 기재한 문서 있음</t>
  </si>
  <si>
    <t xml:space="preserve"> 지우고 작성하세요. 인정되지 않은 원인을 알려주세요. </t>
    <phoneticPr fontId="10" type="noConversion"/>
  </si>
  <si>
    <t xml:space="preserve"> 사회적가치 및 목적을 명시적으로 기재한 문서 없음</t>
  </si>
  <si>
    <t xml:space="preserve"> 지역사회와의 협력기관은 매년 측정되는 항목임. 올해 9개 이상의 기업과 인정되었으니, 인정된 기업과의 지속적인 협력활동을 유지하거나, 새로운 협력관계를 모색할때, 특히 주사업의 영역에서 우리지역에서 활동하는 협력기관을 고려하여 진행해야함</t>
    <phoneticPr fontId="10" type="noConversion"/>
  </si>
  <si>
    <t>달성율</t>
  </si>
  <si>
    <t>지표번호</t>
    <phoneticPr fontId="10" type="noConversion"/>
  </si>
  <si>
    <t>지표</t>
    <phoneticPr fontId="10" type="noConversion"/>
  </si>
  <si>
    <t>배점</t>
    <phoneticPr fontId="10" type="noConversion"/>
  </si>
  <si>
    <t>사회적가치 추구여부</t>
    <phoneticPr fontId="10" type="noConversion"/>
  </si>
  <si>
    <t>사회적 성과관리체계 구축 여부</t>
    <phoneticPr fontId="10" type="noConversion"/>
  </si>
  <si>
    <t xml:space="preserve">사업활동의 사회적 가치 지향성 </t>
    <phoneticPr fontId="10" type="noConversion"/>
  </si>
  <si>
    <t>지표4</t>
  </si>
  <si>
    <t>지표5</t>
  </si>
  <si>
    <t>지표6</t>
  </si>
  <si>
    <t>사회적 환원 노력도</t>
    <phoneticPr fontId="10" type="noConversion"/>
  </si>
  <si>
    <t>지표7</t>
  </si>
  <si>
    <t>지표8</t>
  </si>
  <si>
    <t>근로자 임금수준</t>
    <phoneticPr fontId="10" type="noConversion"/>
  </si>
  <si>
    <t>지표9</t>
  </si>
  <si>
    <t>근로자 역량강화 노력</t>
  </si>
  <si>
    <t>지표10</t>
  </si>
  <si>
    <t>노동생산성</t>
    <phoneticPr fontId="10" type="noConversion"/>
  </si>
  <si>
    <t>지표14</t>
  </si>
  <si>
    <t>혁신노력도</t>
    <phoneticPr fontId="10" type="noConversion"/>
  </si>
  <si>
    <t>탁월</t>
    <phoneticPr fontId="10" type="noConversion"/>
  </si>
  <si>
    <t>우수</t>
    <phoneticPr fontId="10" type="noConversion"/>
  </si>
  <si>
    <t>미흡</t>
    <phoneticPr fontId="10" type="noConversion"/>
  </si>
  <si>
    <t>가측정
점수</t>
    <phoneticPr fontId="10" type="noConversion"/>
  </si>
  <si>
    <t>관리번호</t>
    <phoneticPr fontId="10" type="noConversion"/>
  </si>
  <si>
    <t>사회적가치 목적서류</t>
    <phoneticPr fontId="10" type="noConversion"/>
  </si>
  <si>
    <t xml:space="preserve">                </t>
    <phoneticPr fontId="10" type="noConversion"/>
  </si>
  <si>
    <t>서류검토자</t>
    <phoneticPr fontId="10" type="noConversion"/>
  </si>
  <si>
    <t>외부공유</t>
    <phoneticPr fontId="10" type="noConversion"/>
  </si>
  <si>
    <t>측정기준</t>
    <phoneticPr fontId="10" type="noConversion"/>
  </si>
  <si>
    <t>담당인력</t>
    <phoneticPr fontId="10" type="noConversion"/>
  </si>
  <si>
    <t>대표자</t>
    <phoneticPr fontId="10" type="noConversion"/>
  </si>
  <si>
    <t>성과보고서</t>
    <phoneticPr fontId="10" type="noConversion"/>
  </si>
  <si>
    <t>연락처</t>
    <phoneticPr fontId="10" type="noConversion"/>
  </si>
  <si>
    <t>평가위원회</t>
    <phoneticPr fontId="10" type="noConversion"/>
  </si>
  <si>
    <t>지역</t>
    <phoneticPr fontId="1" type="noConversion"/>
  </si>
  <si>
    <t>지역</t>
    <phoneticPr fontId="10" type="noConversion"/>
  </si>
  <si>
    <t>평가결과사내공유</t>
    <phoneticPr fontId="10" type="noConversion"/>
  </si>
  <si>
    <t>근로자수</t>
    <phoneticPr fontId="10" type="noConversion"/>
  </si>
  <si>
    <t>12월근무시간</t>
    <phoneticPr fontId="10" type="noConversion"/>
  </si>
  <si>
    <t>인증유형</t>
    <phoneticPr fontId="10" type="noConversion"/>
  </si>
  <si>
    <t>취약계층고용율</t>
    <phoneticPr fontId="10" type="noConversion"/>
  </si>
  <si>
    <t>취약계층임금수준</t>
    <phoneticPr fontId="10" type="noConversion"/>
  </si>
  <si>
    <t>업종분류</t>
    <phoneticPr fontId="10" type="noConversion"/>
  </si>
  <si>
    <t>사회적목적실현 내부문화형성</t>
    <phoneticPr fontId="10" type="noConversion"/>
  </si>
  <si>
    <t>취약계층의무</t>
    <phoneticPr fontId="10" type="noConversion"/>
  </si>
  <si>
    <t>근로자보건 및 안전</t>
    <phoneticPr fontId="10" type="noConversion"/>
  </si>
  <si>
    <t>합계</t>
    <phoneticPr fontId="10" type="noConversion"/>
  </si>
  <si>
    <t>협력한 사회적경제기업 수</t>
    <phoneticPr fontId="10" type="noConversion"/>
  </si>
  <si>
    <t>협력한 지역사회기업 수</t>
    <phoneticPr fontId="10" type="noConversion"/>
  </si>
  <si>
    <t>복리후생비</t>
    <phoneticPr fontId="10" type="noConversion"/>
  </si>
  <si>
    <t>근로자 성과급</t>
    <phoneticPr fontId="10" type="noConversion"/>
  </si>
  <si>
    <t>시설투자비</t>
    <phoneticPr fontId="10" type="noConversion"/>
  </si>
  <si>
    <t>지역사회재투자+사회서비스</t>
    <phoneticPr fontId="10" type="noConversion"/>
  </si>
  <si>
    <t>봉사활동,재능기부</t>
    <phoneticPr fontId="10" type="noConversion"/>
  </si>
  <si>
    <t>근로자인사</t>
    <phoneticPr fontId="10" type="noConversion"/>
  </si>
  <si>
    <t>조합원</t>
    <phoneticPr fontId="10" type="noConversion"/>
  </si>
  <si>
    <t>공유</t>
    <phoneticPr fontId="10" type="noConversion"/>
  </si>
  <si>
    <t>해당업종기준</t>
    <phoneticPr fontId="10" type="noConversion"/>
  </si>
  <si>
    <t>지표11</t>
    <phoneticPr fontId="10" type="noConversion"/>
  </si>
  <si>
    <t>지표12</t>
    <phoneticPr fontId="10" type="noConversion"/>
  </si>
  <si>
    <t>지표13</t>
    <phoneticPr fontId="10" type="noConversion"/>
  </si>
  <si>
    <t>의사결정참가비율</t>
    <phoneticPr fontId="10" type="noConversion"/>
  </si>
  <si>
    <t>1회차</t>
    <phoneticPr fontId="10" type="noConversion"/>
  </si>
  <si>
    <t>20%미만</t>
    <phoneticPr fontId="10" type="noConversion"/>
  </si>
  <si>
    <t>회의결과 공유비율</t>
    <phoneticPr fontId="10" type="noConversion"/>
  </si>
  <si>
    <t>2회차</t>
    <phoneticPr fontId="10" type="noConversion"/>
  </si>
  <si>
    <t>40%미만</t>
    <phoneticPr fontId="10" type="noConversion"/>
  </si>
  <si>
    <t>지역사회재투자액</t>
    <phoneticPr fontId="10" type="noConversion"/>
  </si>
  <si>
    <t>3회차</t>
    <phoneticPr fontId="10" type="noConversion"/>
  </si>
  <si>
    <t>60%미만</t>
    <phoneticPr fontId="10" type="noConversion"/>
  </si>
  <si>
    <t>사회서비스제공액</t>
    <phoneticPr fontId="10" type="noConversion"/>
  </si>
  <si>
    <t>4회차</t>
    <phoneticPr fontId="10" type="noConversion"/>
  </si>
  <si>
    <t>80%미만</t>
    <phoneticPr fontId="10" type="noConversion"/>
  </si>
  <si>
    <t>5회차</t>
  </si>
  <si>
    <t>100%이상</t>
    <phoneticPr fontId="10" type="noConversion"/>
  </si>
  <si>
    <t>교육시간</t>
    <phoneticPr fontId="10" type="noConversion"/>
  </si>
  <si>
    <t>6회차</t>
  </si>
  <si>
    <t>7회차</t>
  </si>
  <si>
    <t>계</t>
    <phoneticPr fontId="10" type="noConversion"/>
  </si>
  <si>
    <t>비율</t>
    <phoneticPr fontId="10" type="noConversion"/>
  </si>
  <si>
    <t>매출성장률 (신규,전년도0은 2점)</t>
    <phoneticPr fontId="10" type="noConversion"/>
  </si>
  <si>
    <t>교육1</t>
    <phoneticPr fontId="10" type="noConversion"/>
  </si>
  <si>
    <t>교육2</t>
    <phoneticPr fontId="10" type="noConversion"/>
  </si>
  <si>
    <t>과정의 혁신</t>
    <phoneticPr fontId="10" type="noConversion"/>
  </si>
  <si>
    <t>교육3</t>
    <phoneticPr fontId="10" type="noConversion"/>
  </si>
  <si>
    <t>혁신의 결과</t>
    <phoneticPr fontId="10" type="noConversion"/>
  </si>
  <si>
    <t>교육4</t>
  </si>
  <si>
    <t>교육5</t>
  </si>
  <si>
    <t>교육6</t>
  </si>
  <si>
    <t>교육7</t>
  </si>
  <si>
    <t>교육8</t>
  </si>
  <si>
    <t>교육9</t>
  </si>
  <si>
    <t>교육10</t>
  </si>
  <si>
    <t>교육11</t>
  </si>
  <si>
    <t>교육12</t>
  </si>
  <si>
    <t>교육13</t>
  </si>
  <si>
    <t>교육14</t>
  </si>
  <si>
    <t>교육15</t>
  </si>
  <si>
    <t>담당자</t>
    <phoneticPr fontId="10" type="noConversion"/>
  </si>
  <si>
    <t>지표3-내부</t>
    <phoneticPr fontId="10" type="noConversion"/>
  </si>
  <si>
    <t>지표3-외부</t>
    <phoneticPr fontId="10" type="noConversion"/>
  </si>
  <si>
    <t>지표3 계</t>
    <phoneticPr fontId="10" type="noConversion"/>
  </si>
  <si>
    <t>지표6-내부</t>
    <phoneticPr fontId="10" type="noConversion"/>
  </si>
  <si>
    <t>지표6-외부</t>
    <phoneticPr fontId="10" type="noConversion"/>
  </si>
  <si>
    <t>지표6-비금전</t>
    <phoneticPr fontId="10" type="noConversion"/>
  </si>
  <si>
    <t>지표6 계</t>
    <phoneticPr fontId="10" type="noConversion"/>
  </si>
  <si>
    <t>지표7-비율</t>
    <phoneticPr fontId="10" type="noConversion"/>
  </si>
  <si>
    <t>지표7-공유</t>
    <phoneticPr fontId="10" type="noConversion"/>
  </si>
  <si>
    <t>지표7-합계</t>
    <phoneticPr fontId="10" type="noConversion"/>
  </si>
  <si>
    <t>지표10-고용</t>
    <phoneticPr fontId="10" type="noConversion"/>
  </si>
  <si>
    <t>지표10 계</t>
    <phoneticPr fontId="10" type="noConversion"/>
  </si>
  <si>
    <t>지표11-매출</t>
    <phoneticPr fontId="10" type="noConversion"/>
  </si>
  <si>
    <t>지표11 계</t>
    <phoneticPr fontId="10" type="noConversion"/>
  </si>
  <si>
    <t>지표14-과정</t>
    <phoneticPr fontId="10" type="noConversion"/>
  </si>
  <si>
    <t>지표14-결과</t>
    <phoneticPr fontId="10" type="noConversion"/>
  </si>
  <si>
    <t>지표14 계</t>
    <phoneticPr fontId="10" type="noConversion"/>
  </si>
  <si>
    <t>총계</t>
    <phoneticPr fontId="10" type="noConversion"/>
  </si>
  <si>
    <t>사회적목적실현유형</t>
    <phoneticPr fontId="10" type="noConversion"/>
  </si>
  <si>
    <t>일자리제공형</t>
    <phoneticPr fontId="1" type="noConversion"/>
  </si>
  <si>
    <t>사회적목적실현유형</t>
    <phoneticPr fontId="1" type="noConversion"/>
  </si>
  <si>
    <t>지역사회공헌형(가)</t>
    <phoneticPr fontId="1" type="noConversion"/>
  </si>
  <si>
    <t>사회서비스제공형</t>
    <phoneticPr fontId="1" type="noConversion"/>
  </si>
  <si>
    <t>혼합형</t>
    <phoneticPr fontId="1" type="noConversion"/>
  </si>
  <si>
    <t>지역사회공헌형(나)</t>
    <phoneticPr fontId="1" type="noConversion"/>
  </si>
  <si>
    <t>지역사회공헌형(다)</t>
    <phoneticPr fontId="1" type="noConversion"/>
  </si>
  <si>
    <r>
      <rPr>
        <sz val="10"/>
        <color rgb="FF000000"/>
        <rFont val="KoPubWorld돋움체 Medium"/>
        <family val="3"/>
        <charset val="129"/>
      </rPr>
      <t>기타(창의</t>
    </r>
    <r>
      <rPr>
        <sz val="10"/>
        <color rgb="FF000000"/>
        <rFont val="나눔고딕 ExtraBold"/>
        <family val="3"/>
        <charset val="129"/>
      </rPr>
      <t>·</t>
    </r>
    <r>
      <rPr>
        <sz val="10"/>
        <color rgb="FF000000"/>
        <rFont val="KoPubWorld돋움체 Medium"/>
        <family val="3"/>
        <charset val="129"/>
      </rPr>
      <t>혁신형)</t>
    </r>
    <phoneticPr fontId="1" type="noConversion"/>
  </si>
  <si>
    <t>O</t>
    <phoneticPr fontId="1" type="noConversion"/>
  </si>
  <si>
    <t>X</t>
    <phoneticPr fontId="1" type="noConversion"/>
  </si>
  <si>
    <t>취약계층
고용의무</t>
    <phoneticPr fontId="1" type="noConversion"/>
  </si>
  <si>
    <t>양주시</t>
    <phoneticPr fontId="1" type="noConversion"/>
  </si>
  <si>
    <t>고양시</t>
    <phoneticPr fontId="1" type="noConversion"/>
  </si>
  <si>
    <t>용인시</t>
    <phoneticPr fontId="1" type="noConversion"/>
  </si>
  <si>
    <t>하남시</t>
    <phoneticPr fontId="1" type="noConversion"/>
  </si>
  <si>
    <t>수원시</t>
    <phoneticPr fontId="1" type="noConversion"/>
  </si>
  <si>
    <t>안산시</t>
    <phoneticPr fontId="1" type="noConversion"/>
  </si>
  <si>
    <t>부천시</t>
    <phoneticPr fontId="1" type="noConversion"/>
  </si>
  <si>
    <t>성남시</t>
    <phoneticPr fontId="1" type="noConversion"/>
  </si>
  <si>
    <t>광명시</t>
    <phoneticPr fontId="1" type="noConversion"/>
  </si>
  <si>
    <t>파주시</t>
    <phoneticPr fontId="1" type="noConversion"/>
  </si>
  <si>
    <t>시흥시</t>
    <phoneticPr fontId="1" type="noConversion"/>
  </si>
  <si>
    <t>평택시</t>
    <phoneticPr fontId="1" type="noConversion"/>
  </si>
  <si>
    <t>김포시</t>
    <phoneticPr fontId="1" type="noConversion"/>
  </si>
  <si>
    <t>광주시</t>
    <phoneticPr fontId="1" type="noConversion"/>
  </si>
  <si>
    <t>남양주시</t>
    <phoneticPr fontId="1" type="noConversion"/>
  </si>
  <si>
    <t>의정부시</t>
    <phoneticPr fontId="1" type="noConversion"/>
  </si>
  <si>
    <t>안양시</t>
    <phoneticPr fontId="1" type="noConversion"/>
  </si>
  <si>
    <t>화성시</t>
    <phoneticPr fontId="1" type="noConversion"/>
  </si>
  <si>
    <t>가평군</t>
    <phoneticPr fontId="1" type="noConversion"/>
  </si>
  <si>
    <t>구리시</t>
    <phoneticPr fontId="1" type="noConversion"/>
  </si>
  <si>
    <t>이천시</t>
    <phoneticPr fontId="1" type="noConversion"/>
  </si>
  <si>
    <t>군포시</t>
    <phoneticPr fontId="1" type="noConversion"/>
  </si>
  <si>
    <t>안성시</t>
    <phoneticPr fontId="1" type="noConversion"/>
  </si>
  <si>
    <t>과천시</t>
    <phoneticPr fontId="1" type="noConversion"/>
  </si>
  <si>
    <t>여주시</t>
    <phoneticPr fontId="1" type="noConversion"/>
  </si>
  <si>
    <t>양평군</t>
    <phoneticPr fontId="1" type="noConversion"/>
  </si>
  <si>
    <t>연천군</t>
    <phoneticPr fontId="1" type="noConversion"/>
  </si>
  <si>
    <t>오산시</t>
    <phoneticPr fontId="1" type="noConversion"/>
  </si>
  <si>
    <t>포천시</t>
    <phoneticPr fontId="1" type="noConversion"/>
  </si>
  <si>
    <t>동두천시</t>
    <phoneticPr fontId="1" type="noConversion"/>
  </si>
  <si>
    <t>의왕시</t>
    <phoneticPr fontId="1" type="noConversion"/>
  </si>
  <si>
    <t>사회적기업유형</t>
    <phoneticPr fontId="1" type="noConversion"/>
  </si>
  <si>
    <t>기업유형</t>
    <phoneticPr fontId="1" type="noConversion"/>
  </si>
  <si>
    <t>주식회사</t>
    <phoneticPr fontId="1" type="noConversion"/>
  </si>
  <si>
    <t>제조업(C)</t>
    <phoneticPr fontId="1" type="noConversion"/>
  </si>
  <si>
    <t>수도, 하수, 폐기물 처리, 원료 재생업(E)</t>
    <phoneticPr fontId="1" type="noConversion"/>
  </si>
  <si>
    <t>건설업(F)</t>
    <phoneticPr fontId="1" type="noConversion"/>
  </si>
  <si>
    <t>업종</t>
    <phoneticPr fontId="1" type="noConversion"/>
  </si>
  <si>
    <t>2023년</t>
    <phoneticPr fontId="1" type="noConversion"/>
  </si>
  <si>
    <t xml:space="preserve">2024년 </t>
    <phoneticPr fontId="1" type="noConversion"/>
  </si>
  <si>
    <t>고용인원</t>
    <phoneticPr fontId="10" type="noConversion"/>
  </si>
  <si>
    <t>매출액</t>
    <phoneticPr fontId="10" type="noConversion"/>
  </si>
  <si>
    <t>취약계층인원수</t>
    <phoneticPr fontId="10" type="noConversion"/>
  </si>
  <si>
    <t>기업
기본사항</t>
    <phoneticPr fontId="10" type="noConversion"/>
  </si>
  <si>
    <t>재무제표</t>
    <phoneticPr fontId="10" type="noConversion"/>
  </si>
  <si>
    <t>급여자료
근로계약서</t>
    <phoneticPr fontId="10" type="noConversion"/>
  </si>
  <si>
    <t>2023년</t>
    <phoneticPr fontId="10" type="noConversion"/>
  </si>
  <si>
    <t>취약계층급여</t>
    <phoneticPr fontId="10" type="noConversion"/>
  </si>
  <si>
    <t>취약계층 근무시간</t>
    <phoneticPr fontId="10" type="noConversion"/>
  </si>
  <si>
    <t>취약계층 시급</t>
    <phoneticPr fontId="10" type="noConversion"/>
  </si>
  <si>
    <t>전체 급여</t>
    <phoneticPr fontId="10" type="noConversion"/>
  </si>
  <si>
    <t>전체 근무시간</t>
    <phoneticPr fontId="10" type="noConversion"/>
  </si>
  <si>
    <t>2024년</t>
    <phoneticPr fontId="10" type="noConversion"/>
  </si>
  <si>
    <t>주당근로시간</t>
    <phoneticPr fontId="10" type="noConversion"/>
  </si>
  <si>
    <t>취약계층</t>
    <phoneticPr fontId="10" type="noConversion"/>
  </si>
  <si>
    <t>전체 (2023년)</t>
    <phoneticPr fontId="10" type="noConversion"/>
  </si>
  <si>
    <t>전체 (2024년)</t>
    <phoneticPr fontId="10" type="noConversion"/>
  </si>
  <si>
    <t>취약계층 고용의무</t>
    <phoneticPr fontId="10" type="noConversion"/>
  </si>
  <si>
    <t>영수증</t>
    <phoneticPr fontId="10" type="noConversion"/>
  </si>
  <si>
    <t>참여자</t>
    <phoneticPr fontId="10" type="noConversion"/>
  </si>
  <si>
    <t>사외
이사</t>
    <phoneticPr fontId="10" type="noConversion"/>
  </si>
  <si>
    <t>교육
시간</t>
    <phoneticPr fontId="10" type="noConversion"/>
  </si>
  <si>
    <t>인당
시간</t>
    <phoneticPr fontId="10" type="noConversion"/>
  </si>
  <si>
    <t>교육
참여자</t>
    <phoneticPr fontId="10" type="noConversion"/>
  </si>
  <si>
    <t>비고
(특이사항)</t>
    <phoneticPr fontId="10" type="noConversion"/>
  </si>
  <si>
    <t>성과급</t>
    <phoneticPr fontId="10" type="noConversion"/>
  </si>
  <si>
    <t>유료교육비</t>
    <phoneticPr fontId="10" type="noConversion"/>
  </si>
  <si>
    <t>관련 수치</t>
    <phoneticPr fontId="10" type="noConversion"/>
  </si>
  <si>
    <t>측정</t>
    <phoneticPr fontId="10" type="noConversion"/>
  </si>
  <si>
    <t>SVI 점수 부여</t>
    <phoneticPr fontId="10" type="noConversion"/>
  </si>
  <si>
    <t>Code</t>
    <phoneticPr fontId="1" type="noConversion"/>
  </si>
  <si>
    <t>근로자 시급수준(지표8)</t>
    <phoneticPr fontId="1" type="noConversion"/>
  </si>
  <si>
    <t>지표8</t>
    <phoneticPr fontId="1" type="noConversion"/>
  </si>
  <si>
    <t>사회적기업 전체 평균</t>
    <phoneticPr fontId="1" type="noConversion"/>
  </si>
  <si>
    <t>고용보험 
내역서</t>
    <phoneticPr fontId="10" type="noConversion"/>
  </si>
  <si>
    <t>중기업</t>
    <phoneticPr fontId="1" type="noConversion"/>
  </si>
  <si>
    <t>지표13
(성장율)</t>
    <phoneticPr fontId="10" type="noConversion"/>
  </si>
  <si>
    <t>지표12
(성장율)</t>
    <phoneticPr fontId="10" type="noConversion"/>
  </si>
  <si>
    <t>지표11
(성장율)</t>
    <phoneticPr fontId="10" type="noConversion"/>
  </si>
  <si>
    <t>유료교육여부</t>
    <phoneticPr fontId="10" type="noConversion"/>
  </si>
  <si>
    <t>영업이익</t>
    <phoneticPr fontId="10" type="noConversion"/>
  </si>
  <si>
    <t>자료 입력 :  [ 하늘색만 입력하세요!!!! ]</t>
    <phoneticPr fontId="10" type="noConversion"/>
  </si>
  <si>
    <t>인증 사회적기업</t>
    <phoneticPr fontId="1" type="noConversion"/>
  </si>
  <si>
    <t>예비 사회적기업</t>
    <phoneticPr fontId="1" type="noConversion"/>
  </si>
  <si>
    <t>※ 등급기준: (탁월) 90점 이상, (우수) 75~90점 미만, (양호)60~75점 미만, (미흡)45~60점 미만, (취약) 45점 미만</t>
    <phoneticPr fontId="10" type="noConversion"/>
  </si>
  <si>
    <t>24년 사회적기업 전체평균</t>
    <phoneticPr fontId="10" type="noConversion"/>
  </si>
  <si>
    <t>양호</t>
    <phoneticPr fontId="10" type="noConversion"/>
  </si>
  <si>
    <t>취약</t>
    <phoneticPr fontId="10" type="noConversion"/>
  </si>
  <si>
    <t>모든 사업영역에서 사회적가치 실현을 위한 체계적인 시스템을 갖추고 효과적인 활동이 이루어지고 있으며, 매우 높은 성과를 달성하고 있는 수준입니다</t>
    <phoneticPr fontId="1" type="noConversion"/>
  </si>
  <si>
    <t>대부분 사업영역에서 사회적가치 실현을 위한 체계적인 시스템을 갖추고 효과적 활동이 이루어지고 있으며, 높은 성과를 달성하고 있는 수준입니다</t>
    <phoneticPr fontId="1" type="noConversion"/>
  </si>
  <si>
    <t>일부 사업영역에서 사회적가치 실현을 위한 시스템을 부분적으로 갖추고 활동이 이루어지고 있으며, 사회적 성과는 충분한 수준입니다</t>
    <phoneticPr fontId="1" type="noConversion"/>
  </si>
  <si>
    <t>일부 사업영역에서 사회적가치 실현을 위한 시스템을 부분적으로 도입하고 활동이 추진되고 있지만, 사회적 성과는 다소 부족한 수준입니다</t>
    <phoneticPr fontId="1" type="noConversion"/>
  </si>
  <si>
    <t>대부분 사업영역에서 사회적가치 실현을 위한 시스템을 갖추지 못하고 활동이 미비하여 개선을 위한 변화 시도가 필요한 수준입니다</t>
    <phoneticPr fontId="1" type="noConversion"/>
  </si>
  <si>
    <t>취약</t>
    <phoneticPr fontId="10" type="noConversion"/>
  </si>
  <si>
    <t>미흡</t>
    <phoneticPr fontId="10" type="noConversion"/>
  </si>
  <si>
    <t>양호</t>
    <phoneticPr fontId="10" type="noConversion"/>
  </si>
  <si>
    <t>우수</t>
    <phoneticPr fontId="10" type="noConversion"/>
  </si>
  <si>
    <t>탁월</t>
    <phoneticPr fontId="10" type="noConversion"/>
  </si>
  <si>
    <t>지표0</t>
    <phoneticPr fontId="1" type="noConversion"/>
  </si>
  <si>
    <t>전체 시급</t>
    <phoneticPr fontId="10" type="noConversion"/>
  </si>
  <si>
    <t>담당 컨설턴트</t>
    <phoneticPr fontId="56" type="noConversion"/>
  </si>
  <si>
    <t>연락처</t>
    <phoneticPr fontId="56" type="noConversion"/>
  </si>
  <si>
    <t>이메일</t>
    <phoneticPr fontId="56" type="noConversion"/>
  </si>
  <si>
    <t>컨설팅 참여기업</t>
    <phoneticPr fontId="56" type="noConversion"/>
  </si>
  <si>
    <t>대표자</t>
    <phoneticPr fontId="56" type="noConversion"/>
  </si>
  <si>
    <t>참여자</t>
    <phoneticPr fontId="56" type="noConversion"/>
  </si>
  <si>
    <t>주소</t>
    <phoneticPr fontId="56" type="noConversion"/>
  </si>
  <si>
    <t>기업명</t>
    <phoneticPr fontId="56" type="noConversion"/>
  </si>
  <si>
    <t>1차 일정</t>
    <phoneticPr fontId="56" type="noConversion"/>
  </si>
  <si>
    <t>2차 일정</t>
    <phoneticPr fontId="56" type="noConversion"/>
  </si>
  <si>
    <t>3차 일정</t>
    <phoneticPr fontId="56" type="noConversion"/>
  </si>
  <si>
    <t>장소</t>
    <phoneticPr fontId="56" type="noConversion"/>
  </si>
  <si>
    <t>담당컨설턴트</t>
    <phoneticPr fontId="56" type="noConversion"/>
  </si>
  <si>
    <t>수행개요</t>
    <phoneticPr fontId="56" type="noConversion"/>
  </si>
  <si>
    <t>컨설팅 내용</t>
    <phoneticPr fontId="56" type="noConversion"/>
  </si>
  <si>
    <t>SVI 지표별 확인사항 및 피드백</t>
    <phoneticPr fontId="56" type="noConversion"/>
  </si>
  <si>
    <t>지표2</t>
  </si>
  <si>
    <t>지표3</t>
  </si>
  <si>
    <t>email</t>
    <phoneticPr fontId="10" type="noConversion"/>
  </si>
  <si>
    <t>컨설턴트</t>
    <phoneticPr fontId="10" type="noConversion"/>
  </si>
  <si>
    <t>컨설턴트 연락처</t>
    <phoneticPr fontId="10" type="noConversion"/>
  </si>
  <si>
    <t>컨설 email</t>
    <phoneticPr fontId="10" type="noConversion"/>
  </si>
  <si>
    <t>2차</t>
    <phoneticPr fontId="1" type="noConversion"/>
  </si>
  <si>
    <t>컨설팅 일자</t>
    <phoneticPr fontId="1" type="noConversion"/>
  </si>
  <si>
    <t>참여자</t>
    <phoneticPr fontId="1" type="noConversion"/>
  </si>
  <si>
    <t>1차</t>
    <phoneticPr fontId="1" type="noConversion"/>
  </si>
  <si>
    <t>온라인 Zoom</t>
    <phoneticPr fontId="1" type="noConversion"/>
  </si>
  <si>
    <t>컨설팅</t>
    <phoneticPr fontId="1" type="noConversion"/>
  </si>
  <si>
    <t>유선</t>
    <phoneticPr fontId="1" type="noConversion"/>
  </si>
  <si>
    <t>지원기관 회의실 등 기타</t>
    <phoneticPr fontId="1" type="noConversion"/>
  </si>
  <si>
    <t>기타</t>
    <phoneticPr fontId="1" type="noConversion"/>
  </si>
  <si>
    <t>컨설팅 장소</t>
    <phoneticPr fontId="1" type="noConversion"/>
  </si>
  <si>
    <t>장소(선택)</t>
    <phoneticPr fontId="1" type="noConversion"/>
  </si>
  <si>
    <t>지표별 코멘트 작성 (줄바꿈 맞추지 마세요)</t>
    <phoneticPr fontId="10" type="noConversion"/>
  </si>
  <si>
    <t xml:space="preserve"> - 기업 유형 및 사회적가치 신청서 작성 현황 확인
 - 사회적가치 세부지표 안내 및 예시 제공
 - 지표별 기업에 적합한 상세 보완 내역 자문
 - 사회적가치 지표 관련 증빙 안내 
 - 준비한 증빙자료의 인정여부 판정 안내 및 보완방법 논의
 - 제출가능한 증빙자료를 가정한 모의측정</t>
    <phoneticPr fontId="56" type="noConversion"/>
  </si>
  <si>
    <t>컨설팅 보고서</t>
    <phoneticPr fontId="56" type="noConversion"/>
  </si>
  <si>
    <t>모의점수</t>
    <phoneticPr fontId="56" type="noConversion"/>
  </si>
  <si>
    <t>총점</t>
    <phoneticPr fontId="56" type="noConversion"/>
  </si>
  <si>
    <t>등급</t>
    <phoneticPr fontId="56" type="noConversion"/>
  </si>
  <si>
    <t>23년 고용인원</t>
  </si>
  <si>
    <t>23년 매출액</t>
  </si>
  <si>
    <t>8회차</t>
  </si>
  <si>
    <t>24년 고용인원</t>
  </si>
  <si>
    <t>24년 취약계층인원</t>
  </si>
  <si>
    <t>24년 매출액</t>
  </si>
  <si>
    <t>24년 영업이익</t>
  </si>
  <si>
    <t>24년 취약계층급여</t>
  </si>
  <si>
    <t>24년12월,취약근무시간</t>
  </si>
  <si>
    <t>24년 취약계층시급</t>
  </si>
  <si>
    <t>24년 전체급여</t>
  </si>
  <si>
    <t>24년12월 전체 근무시간</t>
  </si>
  <si>
    <t>24년 전체시급</t>
  </si>
  <si>
    <t xml:space="preserve"> 지역사회와의 협력수준</t>
    <phoneticPr fontId="10" type="noConversion"/>
  </si>
  <si>
    <t xml:space="preserve"> 인정된 지역의 협력기업 수 </t>
    <phoneticPr fontId="10" type="noConversion"/>
  </si>
  <si>
    <t xml:space="preserve">  법정의무 교육외 우리기업의 근로자1인당 교육시간</t>
    <phoneticPr fontId="10" type="noConversion"/>
  </si>
  <si>
    <t xml:space="preserve">  근로자 역량강화 노력</t>
    <phoneticPr fontId="10" type="noConversion"/>
  </si>
  <si>
    <t xml:space="preserve">  교육비 지원 유무</t>
    <phoneticPr fontId="10" type="noConversion"/>
  </si>
  <si>
    <t>외부합계기준(100%)</t>
    <phoneticPr fontId="10" type="noConversion"/>
  </si>
  <si>
    <t>외부활동을 위한 수익의 활용(점수)</t>
    <phoneticPr fontId="10" type="noConversion"/>
  </si>
  <si>
    <t>우리기업의 (지역사회재투자+사회서비스제공) 합계</t>
    <phoneticPr fontId="10" type="noConversion"/>
  </si>
  <si>
    <t>동종업종의 (지역사회재투자 + 사회서비스제공)</t>
    <phoneticPr fontId="10" type="noConversion"/>
  </si>
  <si>
    <t>동종업종 평균대비 비율</t>
    <phoneticPr fontId="10" type="noConversion"/>
  </si>
  <si>
    <t>기타(비금전적)조직의 역량 활용</t>
    <phoneticPr fontId="10" type="noConversion"/>
  </si>
  <si>
    <t xml:space="preserve">  우리기업 2024년 유급근로자수</t>
    <phoneticPr fontId="10" type="noConversion"/>
  </si>
  <si>
    <t xml:space="preserve">  우리기업 고용성장</t>
    <phoneticPr fontId="10" type="noConversion"/>
  </si>
  <si>
    <t xml:space="preserve">  우리기업의 2024년 매출액</t>
    <phoneticPr fontId="10" type="noConversion"/>
  </si>
  <si>
    <t>고용성장률 (신규,전년도0은 2.5점)</t>
    <phoneticPr fontId="10" type="noConversion"/>
  </si>
  <si>
    <t xml:space="preserve">  우리기업의 2024년 영업이익</t>
    <phoneticPr fontId="10" type="noConversion"/>
  </si>
  <si>
    <t xml:space="preserve">  우리기업 영업이익 성장율</t>
    <phoneticPr fontId="10" type="noConversion"/>
  </si>
  <si>
    <t xml:space="preserve">  동종업종의 영업이익 분포의 60%</t>
    <phoneticPr fontId="10" type="noConversion"/>
  </si>
  <si>
    <t xml:space="preserve">  우리기업의 2024년 시간당 노동생산성</t>
    <phoneticPr fontId="10" type="noConversion"/>
  </si>
  <si>
    <t xml:space="preserve">  동종업종의 노동생산성 분포의 60%</t>
    <phoneticPr fontId="10" type="noConversion"/>
  </si>
  <si>
    <t xml:space="preserve">  우리기업 노동생산성 성장율</t>
    <phoneticPr fontId="10" type="noConversion"/>
  </si>
  <si>
    <t>컨설팅 보고서의 종합의견 (칸을 넘지 않도록)</t>
    <phoneticPr fontId="10" type="noConversion"/>
  </si>
  <si>
    <t xml:space="preserve"> 우리기업의 사회적가치 및 목적을 명시적으로 기재한 문서 (유무)</t>
    <phoneticPr fontId="56" type="noConversion"/>
  </si>
  <si>
    <t xml:space="preserve"> 우리기업의 사회적가치 및 목적의 외부공표</t>
    <phoneticPr fontId="56" type="noConversion"/>
  </si>
  <si>
    <t xml:space="preserve"> 사회적경제기업과의 협력수준</t>
    <phoneticPr fontId="10" type="noConversion"/>
  </si>
  <si>
    <t xml:space="preserve"> 인정된 협력 사회적경제기업 수 </t>
    <phoneticPr fontId="10" type="noConversion"/>
  </si>
  <si>
    <t>사업시설 관리, 사업 지원 및 임대 서비스업(N)</t>
  </si>
  <si>
    <t>10~13은 지자체만 작성</t>
    <phoneticPr fontId="10" type="noConversion"/>
  </si>
  <si>
    <t xml:space="preserve"> 참여자</t>
    <phoneticPr fontId="10" type="noConversion"/>
  </si>
  <si>
    <t>입주기업</t>
    <phoneticPr fontId="1" type="noConversion"/>
  </si>
  <si>
    <t>23년 영업이익</t>
    <phoneticPr fontId="1" type="noConversion"/>
  </si>
  <si>
    <t>복리후생비</t>
    <phoneticPr fontId="1" type="noConversion"/>
  </si>
  <si>
    <t>성과급지급액</t>
    <phoneticPr fontId="1" type="noConversion"/>
  </si>
  <si>
    <t>시설투자비</t>
    <phoneticPr fontId="1" type="noConversion"/>
  </si>
  <si>
    <t>23년 시간당 노동생산성</t>
    <phoneticPr fontId="1" type="noConversion"/>
  </si>
  <si>
    <t>24년 시간당 노동생산성</t>
    <phoneticPr fontId="1" type="noConversion"/>
  </si>
  <si>
    <t>외부사회적지향성평가점수</t>
    <phoneticPr fontId="1" type="noConversion"/>
  </si>
  <si>
    <t>기업의 연간 교육제공시간</t>
    <phoneticPr fontId="1" type="noConversion"/>
  </si>
  <si>
    <t>1인당 교육시간</t>
    <phoneticPr fontId="10" type="noConversion"/>
  </si>
  <si>
    <t>영업이익성장률</t>
    <phoneticPr fontId="1" type="noConversion"/>
  </si>
  <si>
    <t>매출성장율</t>
    <phoneticPr fontId="10" type="noConversion"/>
  </si>
  <si>
    <t>고용성장율</t>
    <phoneticPr fontId="10" type="noConversion"/>
  </si>
  <si>
    <t>노동생산성 성장율</t>
    <phoneticPr fontId="1" type="noConversion"/>
  </si>
  <si>
    <t>지표10-고용성장율</t>
    <phoneticPr fontId="10" type="noConversion"/>
  </si>
  <si>
    <t>지표11-매출성장율</t>
    <phoneticPr fontId="10" type="noConversion"/>
  </si>
  <si>
    <t>지표12-영업이익</t>
    <phoneticPr fontId="1" type="noConversion"/>
  </si>
  <si>
    <t>지표12-영업이익 성장율</t>
    <phoneticPr fontId="1" type="noConversion"/>
  </si>
  <si>
    <t>지표12-계</t>
    <phoneticPr fontId="1" type="noConversion"/>
  </si>
  <si>
    <t>지표13-노동생산성</t>
    <phoneticPr fontId="1" type="noConversion"/>
  </si>
  <si>
    <t>지표13-노동생산성 성장율</t>
    <phoneticPr fontId="1" type="noConversion"/>
  </si>
  <si>
    <t>지표13-계</t>
    <phoneticPr fontId="1" type="noConversion"/>
  </si>
  <si>
    <t>모의측정등급</t>
    <phoneticPr fontId="10" type="noConversion"/>
  </si>
  <si>
    <t>(사회적)협동조합</t>
    <phoneticPr fontId="1" type="noConversion"/>
  </si>
  <si>
    <t>재단법인</t>
    <phoneticPr fontId="1" type="noConversion"/>
  </si>
  <si>
    <t>사단법인</t>
    <phoneticPr fontId="1" type="noConversion"/>
  </si>
  <si>
    <t>유한회사</t>
    <phoneticPr fontId="1" type="noConversion"/>
  </si>
  <si>
    <t>영업성과 성장률(신규,전년도0은 1.5점)</t>
    <phoneticPr fontId="10" type="noConversion"/>
  </si>
  <si>
    <t>노동생산성 성장률(신규,전년도0은 1.5점)</t>
    <phoneticPr fontId="10" type="noConversion"/>
  </si>
  <si>
    <t>업종별 점수 평균(22년)</t>
    <phoneticPr fontId="1" type="noConversion"/>
  </si>
  <si>
    <t>1차 컨설팅</t>
    <phoneticPr fontId="56" type="noConversion"/>
  </si>
  <si>
    <t>2차 컨설팅</t>
    <phoneticPr fontId="56" type="noConversion"/>
  </si>
  <si>
    <t>3차 컨설팅</t>
    <phoneticPr fontId="56" type="noConversion"/>
  </si>
  <si>
    <t>업종</t>
  </si>
  <si>
    <t>점수</t>
  </si>
  <si>
    <t>농업, 임업 및 어업(A)</t>
  </si>
  <si>
    <t>운수업(H)</t>
  </si>
  <si>
    <t>숙박 및 음식점업(I)</t>
  </si>
  <si>
    <t>전문, 과학 및 기술 서비스업(M)</t>
  </si>
  <si>
    <t>교육 서비스업(P)</t>
  </si>
  <si>
    <t>보건업 및 사회복지 서비스업(Q)</t>
  </si>
  <si>
    <t>협회 및 단체, 수리 및 개인 서비스업(S)</t>
  </si>
  <si>
    <t>도매 및 소매업(G)</t>
  </si>
  <si>
    <t>전체평균</t>
    <phoneticPr fontId="1" type="noConversion"/>
  </si>
  <si>
    <t>지자체</t>
    <phoneticPr fontId="56" type="noConversion"/>
  </si>
  <si>
    <t>경기도</t>
    <phoneticPr fontId="56" type="noConversion"/>
  </si>
  <si>
    <t>24년 경기 245개사 기준</t>
    <phoneticPr fontId="1" type="noConversion"/>
  </si>
  <si>
    <t>24년 진흥원 전체</t>
    <phoneticPr fontId="1" type="noConversion"/>
  </si>
  <si>
    <t>24년 경기</t>
    <phoneticPr fontId="1" type="noConversion"/>
  </si>
  <si>
    <t>정보통신업(J)</t>
  </si>
  <si>
    <t>수도, 하수, 폐기물처리, 원료재생업(E)</t>
  </si>
  <si>
    <t xml:space="preserve">예술, 스포츠 및 여가관련 서비스업(R) </t>
  </si>
  <si>
    <t>부동산업(L)</t>
  </si>
  <si>
    <t>전기, 가스, 증기 및 공기조절 공급업(D)</t>
  </si>
  <si>
    <t>진흥원</t>
    <phoneticPr fontId="1" type="noConversion"/>
  </si>
  <si>
    <t>24경기</t>
    <phoneticPr fontId="1" type="noConversion"/>
  </si>
  <si>
    <t>세부주소</t>
    <phoneticPr fontId="10" type="noConversion"/>
  </si>
  <si>
    <t>1차 컨설팅 보고서</t>
    <phoneticPr fontId="56" type="noConversion"/>
  </si>
  <si>
    <t>2차 컨설팅 보고서</t>
    <phoneticPr fontId="56" type="noConversion"/>
  </si>
  <si>
    <t>1차 컨설팅 시 작성</t>
    <phoneticPr fontId="10" type="noConversion"/>
  </si>
  <si>
    <t>1차
(수기입력)</t>
    <phoneticPr fontId="10" type="noConversion"/>
  </si>
  <si>
    <t>1차 점수</t>
    <phoneticPr fontId="10" type="noConversion"/>
  </si>
  <si>
    <t>2차
(수기입력)</t>
    <phoneticPr fontId="10" type="noConversion"/>
  </si>
  <si>
    <t>2차 컨설팅 시 작성</t>
    <phoneticPr fontId="10" type="noConversion"/>
  </si>
  <si>
    <t>마지막 회차 컨설팅 시 작성</t>
    <phoneticPr fontId="10" type="noConversion"/>
  </si>
  <si>
    <t>최종</t>
    <phoneticPr fontId="56" type="noConversion"/>
  </si>
  <si>
    <r>
      <t>1</t>
    </r>
    <r>
      <rPr>
        <sz val="10"/>
        <color rgb="FF000000"/>
        <rFont val="맑은 고딕"/>
        <family val="1"/>
        <charset val="129"/>
      </rPr>
      <t>차</t>
    </r>
    <phoneticPr fontId="56" type="noConversion"/>
  </si>
  <si>
    <r>
      <t>2</t>
    </r>
    <r>
      <rPr>
        <sz val="10"/>
        <color rgb="FF000000"/>
        <rFont val="맑은 고딕"/>
        <family val="1"/>
        <charset val="129"/>
      </rPr>
      <t>차</t>
    </r>
    <phoneticPr fontId="56" type="noConversion"/>
  </si>
  <si>
    <r>
      <t>1</t>
    </r>
    <r>
      <rPr>
        <sz val="10"/>
        <color rgb="FF000000"/>
        <rFont val="맑은 고딕"/>
        <family val="3"/>
        <charset val="129"/>
      </rPr>
      <t>차</t>
    </r>
    <phoneticPr fontId="56" type="noConversion"/>
  </si>
  <si>
    <r>
      <t>2</t>
    </r>
    <r>
      <rPr>
        <sz val="10"/>
        <color rgb="FF000000"/>
        <rFont val="맑은 고딕"/>
        <family val="3"/>
        <charset val="129"/>
      </rPr>
      <t>차</t>
    </r>
    <phoneticPr fontId="56" type="noConversion"/>
  </si>
  <si>
    <t>모의측정의 주요 지표3가지만 의견(2줄넘지 않도록 쓰세요)</t>
    <phoneticPr fontId="10" type="noConversion"/>
  </si>
  <si>
    <t>컨설팅 종합 보고서</t>
    <phoneticPr fontId="56" type="noConversion"/>
  </si>
  <si>
    <t>1차 컨설팅 주요 내용 5가지 기재 / (2줄넘지 않도록 쓰세요)</t>
    <phoneticPr fontId="10" type="noConversion"/>
  </si>
  <si>
    <t>2차 컨설팅 주요 내용 5가지 기재 / (2줄넘지 않도록 쓰세요)</t>
    <phoneticPr fontId="10" type="noConversion"/>
  </si>
  <si>
    <t>구분</t>
    <phoneticPr fontId="10" type="noConversion"/>
  </si>
  <si>
    <t>일자리제공형</t>
  </si>
  <si>
    <t>3차</t>
  </si>
  <si>
    <t>지표2</t>
    <phoneticPr fontId="1" type="noConversion"/>
  </si>
  <si>
    <t>서일화</t>
    <phoneticPr fontId="1" type="noConversion"/>
  </si>
  <si>
    <t>010-6614-6649</t>
    <phoneticPr fontId="1" type="noConversion"/>
  </si>
  <si>
    <t>seoih0706@gmail.com</t>
    <phoneticPr fontId="1" type="noConversion"/>
  </si>
  <si>
    <t>갓피플주식회사</t>
    <phoneticPr fontId="10" type="noConversion"/>
  </si>
  <si>
    <t>128-86-63141</t>
    <phoneticPr fontId="10" type="noConversion"/>
  </si>
  <si>
    <t>제 2016-076 호</t>
    <phoneticPr fontId="10" type="noConversion"/>
  </si>
  <si>
    <t>박도선</t>
    <phoneticPr fontId="10" type="noConversion"/>
  </si>
  <si>
    <t>안호영</t>
    <phoneticPr fontId="1" type="noConversion"/>
  </si>
  <si>
    <t>031-944-0341</t>
    <phoneticPr fontId="10" type="noConversion"/>
  </si>
  <si>
    <t>고양시</t>
  </si>
  <si>
    <t>덕양구 호국로 787</t>
    <phoneticPr fontId="1" type="noConversion"/>
  </si>
  <si>
    <t>인증 사회적기업</t>
  </si>
  <si>
    <t>milion@naver.com</t>
    <phoneticPr fontId="1" type="noConversion"/>
  </si>
  <si>
    <t>유선</t>
  </si>
  <si>
    <t>갓피플주식회사는 SVI 모의측정 결과 90.1점으로 탁월한 수준으로 평가되었습니다. 특히 사회적 성과 관리체계와 근로자 역량강화 측면에서 만점을 기록하며, 체계적인 관리와 직원 교육훈련에 대한 우수한 성과를 보였습니다. 이 외에도 취약계층 임금수준, 사회적경제기업 및 지역사회와의 협력, 그리고 혁신 노력에서도 높은 점수를 기록하며 사회적 가치 창출에 크게 기여하고 있습니다.
다만, 영업성과와 노동생산성의 성장률이 다소 낮은 수준으로 평가되었으며, 이를 개선하기 위해 영업성과 증대 전략 및 생산성 향상 방안 마련이 필요합니다. 또한, 협력활동의 지속성과 정기성을 강화하고 협력의 질적 향상을 도모한다면, 더욱 높은 사회적 가치와 경제적 성과를 달성할 수 있을 것입니다.
갓피플주식회사는 현재의 강점을 기반으로 사회적 가치와 경영 성과를 지속적으로 발전시켜 나갈 가능성이 매우 높으며, 앞으로도 지속 가능한 성장을 이어갈 것으로 기대됩니다.</t>
    <phoneticPr fontId="10" type="noConversion"/>
  </si>
  <si>
    <t>사회적 목적이 명시된 정관을 보유하고 있으며, 홈페이지를 통해 대외적으로 공표하고 있음</t>
    <phoneticPr fontId="10" type="noConversion"/>
  </si>
  <si>
    <t>2차</t>
  </si>
  <si>
    <t>지금처럼 잘 유지하도록 하되, 매년 기업 내부에서 집중 할 사회적 성과 목표에 대한 계획을 수립하고 정기적으로 관리하도록 요함</t>
    <phoneticPr fontId="10" type="noConversion"/>
  </si>
  <si>
    <t>취약계층 고용율이 동종업종 대비 낮은편이며, 해당부분을 보완할 수 있도록 기업내부에서 취약계층 고용율 개선을 위해 노력 필요하며, 외부운영의 사회적가치 실현 수준은 매우 우수한 편임.</t>
    <phoneticPr fontId="10" type="noConversion"/>
  </si>
  <si>
    <t>사회적경제기업과의 협력 활동이 8건으로, 협력 수준이 높은 편으로 5점을 충족함</t>
    <phoneticPr fontId="10" type="noConversion"/>
  </si>
  <si>
    <t>지역사회 내 11개 기관과 협력활동을 진행한 점이 인정되어 5점을 충족함</t>
    <phoneticPr fontId="10" type="noConversion"/>
  </si>
  <si>
    <t>기업 내외부 운영에 대한 사회적 환원 내용은 전반적으로 우수하며 현행을 잘 유지할 수 있도록 관리 요함</t>
    <phoneticPr fontId="10" type="noConversion"/>
  </si>
  <si>
    <t>민주적인 의사결정구조를 잘 갖추고 있으며 현행을 유지할 수 있도록 노력 요함</t>
    <phoneticPr fontId="10" type="noConversion"/>
  </si>
  <si>
    <t>근로자 평균 시급은 17,536원으로 (8점 만점을 충족함. 근로자 처우 개선에 대한 기업의 노력을 확인할 수 있음</t>
    <phoneticPr fontId="10" type="noConversion"/>
  </si>
  <si>
    <t>근로자 1인당 평균 교육시간이 39.3시간으로 기준을 충족하며, 내외부 교육을 통해 역량 강화를 지원한 점이 인정되어 5점을 충족함</t>
    <phoneticPr fontId="10" type="noConversion"/>
  </si>
  <si>
    <t>지표4</t>
    <phoneticPr fontId="1" type="noConversion"/>
  </si>
  <si>
    <t>8개 사회적경제기업과 협력관계를 구축하여 5점을 획득했으나, 협력활동의 지속성과 정기성 확보를 위한 구체적인 계획 수립이 필요함.</t>
    <phoneticPr fontId="10" type="noConversion"/>
  </si>
  <si>
    <t>지표5</t>
    <phoneticPr fontId="1" type="noConversion"/>
  </si>
  <si>
    <t>11개 지역사회 기관과 협력관계를 구축하여 5점을 획득했으나, 협력내용의 질적 향상과 지속적 협력 방안 마련 필요.</t>
    <phoneticPr fontId="10" type="noConversion"/>
  </si>
  <si>
    <t>과정의 혁신(5점), 혁신의 결과(5점)로 총 10점 획득함. 혁신활동이 우수하게 평가되었으나, 지속적인 성과 관리와 기록 체계 마련 필요.</t>
    <phoneticPr fontId="10" type="noConversion"/>
  </si>
  <si>
    <t>지표12~13</t>
    <phoneticPr fontId="1" type="noConversion"/>
  </si>
  <si>
    <t>영업성과와 노동생산성의 성장률이 다소 낮은 수준으로 평가되었으며, 이를 개선하기 위해 영업성과 증대 전략 및 생산성 향상 방안 마련 필요.</t>
    <phoneticPr fontId="1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</si>
</sst>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8">
    <numFmt numFmtId="6" formatCode="&quot;₩&quot;#,##0_);[Red]\(&quot;₩&quot;#,##0\)"/>
    <numFmt numFmtId="41" formatCode="_(* #,##0_);_(* \(#,##0\);_(* &quot;-&quot;_);_(@_)"/>
    <numFmt numFmtId="176" formatCode="_-&quot;₩&quot;* #,##0_-;\-&quot;₩&quot;* #,##0_-;_-&quot;₩&quot;* &quot;-&quot;_-;_-@_-"/>
    <numFmt numFmtId="177" formatCode="_-* #,##0_-;\-* #,##0_-;_-* &quot;-&quot;_-;_-@_-"/>
    <numFmt numFmtId="178" formatCode="_-&quot;₩&quot;* #,##0.00_-;\-&quot;₩&quot;* #,##0.00_-;_-&quot;₩&quot;* &quot;-&quot;??_-;_-@_-"/>
    <numFmt numFmtId="179" formatCode="0.0%"/>
    <numFmt numFmtId="180" formatCode="#,##0\ &quot;미만&quot;"/>
    <numFmt numFmtId="181" formatCode="#,##0\ &quot;이상&quot;"/>
    <numFmt numFmtId="182" formatCode="#,##0\ &quot;이하&quot;"/>
    <numFmt numFmtId="183" formatCode="#,##0.0&quot;% 미만&quot;"/>
    <numFmt numFmtId="184" formatCode="#,##0.0&quot;% 이상&quot;"/>
    <numFmt numFmtId="185" formatCode="General&quot;점&quot;"/>
    <numFmt numFmtId="186" formatCode="000\-00\-00000"/>
    <numFmt numFmtId="187" formatCode="0.0&quot;시간&quot;"/>
    <numFmt numFmtId="188" formatCode="General&quot;개&quot;"/>
    <numFmt numFmtId="189" formatCode="0_);[Red]\(0\)"/>
    <numFmt numFmtId="190" formatCode="General&quot;명&quot;"/>
    <numFmt numFmtId="191" formatCode="0.0"/>
    <numFmt numFmtId="192" formatCode="_(* #,##0.0_);_(* \(#,##0.0\);_(* &quot;-&quot;_);_(@_)"/>
    <numFmt numFmtId="193" formatCode="_-* #,##0.0_-;\-* #,##0.0_-;_-* &quot;-&quot;_-;_-@_-"/>
    <numFmt numFmtId="194" formatCode="&quot;주&quot;\ General\ &quot;시간&quot;"/>
    <numFmt numFmtId="195" formatCode="&quot;Code&quot;\ General"/>
    <numFmt numFmtId="196" formatCode="#,##0\ &quot;초과&quot;"/>
    <numFmt numFmtId="197" formatCode="General\ &quot;년&quot;"/>
    <numFmt numFmtId="198" formatCode="_-&quot;₩&quot;* #,##0.0_-;\-&quot;₩&quot;* #,##0.0_-;_-&quot;₩&quot;* &quot;-&quot;?_-;_-@_-"/>
    <numFmt numFmtId="199" formatCode="&quot;₩&quot;#,##0"/>
    <numFmt numFmtId="200" formatCode="&quot;경기-&quot;\ 000"/>
    <numFmt numFmtId="201" formatCode="0.0_);[Red]\(0.0\)"/>
  </numFmts>
  <fonts count="81">
    <font>
      <sz val="10"/>
      <color rgb="FF000000"/>
      <name val="Times New Roman"/>
      <charset val="204"/>
    </font>
    <font>
      <sz val="8"/>
      <name val="돋움"/>
      <family val="3"/>
      <charset val="129"/>
    </font>
    <font>
      <sz val="10"/>
      <color rgb="FF000000"/>
      <name val="맑은 고딕"/>
      <family val="3"/>
      <charset val="129"/>
      <scheme val="major"/>
    </font>
    <font>
      <sz val="11"/>
      <name val="맑은 고딕"/>
      <family val="3"/>
      <charset val="129"/>
      <scheme val="major"/>
    </font>
    <font>
      <sz val="11"/>
      <color rgb="FF000000"/>
      <name val="맑은 고딕"/>
      <family val="3"/>
      <charset val="129"/>
      <scheme val="major"/>
    </font>
    <font>
      <sz val="11"/>
      <color rgb="FFFF0000"/>
      <name val="맑은 고딕"/>
      <family val="3"/>
      <charset val="129"/>
      <scheme val="major"/>
    </font>
    <font>
      <sz val="10"/>
      <color rgb="FFFF0000"/>
      <name val="맑은 고딕"/>
      <family val="3"/>
      <charset val="129"/>
      <scheme val="major"/>
    </font>
    <font>
      <sz val="10"/>
      <color rgb="FF000000"/>
      <name val="Times New Roman"/>
      <family val="1"/>
    </font>
    <font>
      <sz val="11"/>
      <color theme="1"/>
      <name val="맑은 고딕"/>
      <family val="2"/>
      <charset val="129"/>
      <scheme val="minor"/>
    </font>
    <font>
      <b/>
      <sz val="15"/>
      <color theme="1"/>
      <name val="KoPub돋움체 Bold"/>
      <family val="3"/>
      <charset val="129"/>
    </font>
    <font>
      <sz val="8"/>
      <name val="맑은 고딕"/>
      <family val="2"/>
      <charset val="129"/>
      <scheme val="minor"/>
    </font>
    <font>
      <sz val="11"/>
      <color theme="1"/>
      <name val="KoPub돋움체 Bold"/>
      <family val="3"/>
      <charset val="129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KoPub돋움체 Bold"/>
      <family val="3"/>
      <charset val="129"/>
    </font>
    <font>
      <b/>
      <sz val="18"/>
      <color theme="1"/>
      <name val="KoPub돋움체 Bold"/>
      <family val="3"/>
      <charset val="129"/>
    </font>
    <font>
      <b/>
      <sz val="12"/>
      <color theme="0"/>
      <name val="KoPub돋움체 Bold"/>
      <family val="3"/>
      <charset val="129"/>
    </font>
    <font>
      <b/>
      <sz val="11"/>
      <color theme="4" tint="-0.249977111117893"/>
      <name val="KoPub돋움체 Bold"/>
      <family val="3"/>
      <charset val="129"/>
    </font>
    <font>
      <sz val="11"/>
      <name val="KoPub돋움체 Bold"/>
      <family val="3"/>
      <charset val="129"/>
    </font>
    <font>
      <b/>
      <sz val="11"/>
      <color theme="1" tint="0.14999847407452621"/>
      <name val="KoPub돋움체 Bold"/>
      <family val="3"/>
      <charset val="129"/>
    </font>
    <font>
      <b/>
      <sz val="11"/>
      <color rgb="FF000000"/>
      <name val="KoPub돋움체 Bold"/>
      <family val="3"/>
      <charset val="129"/>
    </font>
    <font>
      <sz val="11"/>
      <color rgb="FF000000"/>
      <name val="KoPub돋움체 Bold"/>
      <family val="3"/>
      <charset val="129"/>
    </font>
    <font>
      <sz val="9"/>
      <color theme="1"/>
      <name val="KoPub돋움체 Bold"/>
      <family val="3"/>
      <charset val="129"/>
    </font>
    <font>
      <sz val="11"/>
      <color rgb="FF000000"/>
      <name val="맑은 고딕"/>
      <family val="2"/>
      <charset val="129"/>
      <scheme val="minor"/>
    </font>
    <font>
      <b/>
      <sz val="9"/>
      <color rgb="FFFF0000"/>
      <name val="맑은 고딕"/>
      <family val="3"/>
      <charset val="129"/>
      <scheme val="minor"/>
    </font>
    <font>
      <b/>
      <sz val="9"/>
      <color rgb="FF000000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0"/>
      <color theme="0"/>
      <name val="맑은 고딕"/>
      <family val="3"/>
      <charset val="129"/>
      <scheme val="minor"/>
    </font>
    <font>
      <sz val="10"/>
      <color rgb="FFFF0000"/>
      <name val="맑은 고딕"/>
      <family val="3"/>
      <charset val="129"/>
      <scheme val="minor"/>
    </font>
    <font>
      <sz val="10"/>
      <color theme="0"/>
      <name val="맑은 고딕"/>
      <family val="3"/>
      <charset val="129"/>
      <scheme val="minor"/>
    </font>
    <font>
      <b/>
      <sz val="9"/>
      <color theme="1"/>
      <name val="맑은 고딕"/>
      <family val="3"/>
      <charset val="129"/>
      <scheme val="minor"/>
    </font>
    <font>
      <b/>
      <sz val="9"/>
      <color rgb="FFC00000"/>
      <name val="맑은 고딕"/>
      <family val="3"/>
      <charset val="129"/>
      <scheme val="minor"/>
    </font>
    <font>
      <sz val="10"/>
      <color rgb="FF000000"/>
      <name val="맑은 고딕"/>
      <family val="3"/>
      <charset val="129"/>
    </font>
    <font>
      <b/>
      <sz val="10"/>
      <color theme="0"/>
      <name val="맑은 고딕"/>
      <family val="3"/>
      <charset val="129"/>
    </font>
    <font>
      <sz val="10"/>
      <color rgb="FF000000"/>
      <name val="KoPubWorld돋움체 Medium"/>
      <family val="3"/>
      <charset val="129"/>
    </font>
    <font>
      <sz val="10"/>
      <color rgb="FF000000"/>
      <name val="나눔고딕 ExtraBold"/>
      <family val="3"/>
      <charset val="129"/>
    </font>
    <font>
      <sz val="10"/>
      <color rgb="FF000000"/>
      <name val="Times New Roman"/>
      <family val="3"/>
      <charset val="129"/>
    </font>
    <font>
      <b/>
      <sz val="10"/>
      <color theme="0"/>
      <name val="맑은 고딕"/>
      <family val="1"/>
      <charset val="129"/>
    </font>
    <font>
      <sz val="10"/>
      <color theme="1"/>
      <name val="맑은 고딕"/>
      <family val="3"/>
      <charset val="129"/>
    </font>
    <font>
      <b/>
      <sz val="10"/>
      <color rgb="FF000000"/>
      <name val="맑은 고딕"/>
      <family val="3"/>
      <charset val="129"/>
      <scheme val="major"/>
    </font>
    <font>
      <b/>
      <sz val="11"/>
      <color theme="0"/>
      <name val="맑은 고딕"/>
      <family val="3"/>
      <charset val="129"/>
      <scheme val="minor"/>
    </font>
    <font>
      <sz val="9"/>
      <color theme="0"/>
      <name val="맑은 고딕"/>
      <family val="3"/>
      <charset val="129"/>
      <scheme val="minor"/>
    </font>
    <font>
      <b/>
      <sz val="9"/>
      <color theme="0"/>
      <name val="맑은 고딕"/>
      <family val="3"/>
      <charset val="129"/>
      <scheme val="minor"/>
    </font>
    <font>
      <b/>
      <sz val="12"/>
      <color rgb="FF000000"/>
      <name val="맑은 고딕"/>
      <family val="3"/>
      <charset val="129"/>
      <scheme val="major"/>
    </font>
    <font>
      <b/>
      <sz val="11"/>
      <color theme="0"/>
      <name val="맑은 고딕"/>
      <family val="3"/>
      <charset val="129"/>
      <scheme val="major"/>
    </font>
    <font>
      <sz val="12"/>
      <color rgb="FF000000"/>
      <name val="맑은 고딕"/>
      <family val="3"/>
      <charset val="129"/>
      <scheme val="major"/>
    </font>
    <font>
      <sz val="10"/>
      <name val="맑은 고딕"/>
      <family val="3"/>
      <charset val="129"/>
      <scheme val="major"/>
    </font>
    <font>
      <b/>
      <sz val="11"/>
      <name val="맑은 고딕"/>
      <family val="3"/>
      <charset val="129"/>
      <scheme val="major"/>
    </font>
    <font>
      <b/>
      <sz val="12"/>
      <color theme="0"/>
      <name val="맑은 고딕"/>
      <family val="3"/>
      <charset val="129"/>
      <scheme val="major"/>
    </font>
    <font>
      <sz val="12"/>
      <color rgb="FFFF0000"/>
      <name val="맑은 고딕"/>
      <family val="3"/>
      <charset val="129"/>
      <scheme val="major"/>
    </font>
    <font>
      <sz val="8.5"/>
      <color theme="1"/>
      <name val="KoPub돋움체 Bold"/>
      <family val="3"/>
      <charset val="129"/>
    </font>
    <font>
      <sz val="10"/>
      <color theme="1"/>
      <name val="KoPub돋움체 Bold"/>
      <family val="3"/>
      <charset val="129"/>
    </font>
    <font>
      <sz val="10"/>
      <color rgb="FF000000"/>
      <name val="KoPubWorld돋움체_Pro Medium"/>
      <family val="3"/>
      <charset val="129"/>
    </font>
    <font>
      <sz val="11"/>
      <color rgb="FF000000"/>
      <name val="KoPub돋움체 Bold"/>
      <family val="1"/>
      <charset val="129"/>
    </font>
    <font>
      <sz val="10.5"/>
      <color rgb="FF000000"/>
      <name val="KoPubWorld돋움체_Pro Medium"/>
      <family val="3"/>
      <charset val="129"/>
    </font>
    <font>
      <sz val="8"/>
      <name val="바탕"/>
      <family val="1"/>
      <charset val="129"/>
    </font>
    <font>
      <sz val="10"/>
      <color rgb="FF000000"/>
      <name val="KoPub돋움체 Bold"/>
      <family val="1"/>
      <charset val="129"/>
    </font>
    <font>
      <sz val="30"/>
      <color rgb="FF000000"/>
      <name val="HY헤드라인M"/>
      <family val="1"/>
      <charset val="129"/>
    </font>
    <font>
      <b/>
      <sz val="10"/>
      <color theme="1"/>
      <name val="KoPub돋움체 Bold"/>
      <family val="1"/>
      <charset val="129"/>
    </font>
    <font>
      <b/>
      <sz val="10"/>
      <color theme="0"/>
      <name val="KoPub돋움체 Bold"/>
      <family val="1"/>
      <charset val="129"/>
    </font>
    <font>
      <sz val="9"/>
      <color rgb="FF000000"/>
      <name val="KoPubWorld돋움체_Pro Medium"/>
      <family val="3"/>
      <charset val="129"/>
    </font>
    <font>
      <sz val="10"/>
      <color rgb="FF000000"/>
      <name val="KoPubWorld돋움체_Pro Bold"/>
      <family val="3"/>
      <charset val="129"/>
    </font>
    <font>
      <b/>
      <sz val="10"/>
      <color theme="0" tint="-0.249977111117893"/>
      <name val="맑은 고딕"/>
      <family val="3"/>
      <charset val="129"/>
      <scheme val="minor"/>
    </font>
    <font>
      <sz val="10"/>
      <color theme="0" tint="-0.249977111117893"/>
      <name val="맑은 고딕"/>
      <family val="3"/>
      <charset val="129"/>
      <scheme val="minor"/>
    </font>
    <font>
      <sz val="11"/>
      <color theme="1"/>
      <name val="KoPub돋움체 Bold"/>
      <family val="1"/>
      <charset val="129"/>
    </font>
    <font>
      <sz val="11"/>
      <color theme="1" tint="0.499984740745262"/>
      <name val="KoPub돋움체 Bold"/>
      <family val="3"/>
      <charset val="129"/>
    </font>
    <font>
      <sz val="11"/>
      <color theme="1" tint="0.499984740745262"/>
      <name val="KoPub돋움체 Bold"/>
      <family val="1"/>
      <charset val="129"/>
    </font>
    <font>
      <sz val="10"/>
      <color theme="1" tint="0.499984740745262"/>
      <name val="KoPub돋움체 Bold"/>
      <family val="1"/>
      <charset val="129"/>
    </font>
    <font>
      <sz val="11"/>
      <color theme="0" tint="-0.499984740745262"/>
      <name val="KoPub돋움체 Bold"/>
      <family val="3"/>
      <charset val="129"/>
    </font>
    <font>
      <sz val="11"/>
      <color theme="0" tint="-0.499984740745262"/>
      <name val="KoPub돋움체 Bold"/>
      <family val="1"/>
      <charset val="129"/>
    </font>
    <font>
      <sz val="10"/>
      <color theme="1"/>
      <name val="KoPub돋움체 Bold"/>
      <family val="1"/>
      <charset val="129"/>
    </font>
    <font>
      <sz val="10.5"/>
      <color theme="1"/>
      <name val="KoPub돋움체 Bold"/>
      <family val="1"/>
      <charset val="129"/>
    </font>
    <font>
      <sz val="10.5"/>
      <color theme="0" tint="-0.499984740745262"/>
      <name val="KoPub돋움체 Bold"/>
      <family val="1"/>
      <charset val="129"/>
    </font>
    <font>
      <sz val="10"/>
      <color theme="1"/>
      <name val="KoPubWorld돋움체_Pro Medium"/>
      <family val="3"/>
      <charset val="129"/>
    </font>
    <font>
      <sz val="10"/>
      <color rgb="FF000000"/>
      <name val="맑은 고딕"/>
      <family val="3"/>
      <charset val="129"/>
      <scheme val="minor"/>
    </font>
    <font>
      <b/>
      <sz val="14"/>
      <color theme="0" tint="-0.249977111117893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sz val="10"/>
      <color rgb="FFC00000"/>
      <name val="맑은 고딕"/>
      <family val="3"/>
      <charset val="129"/>
      <scheme val="minor"/>
    </font>
    <font>
      <u/>
      <sz val="10"/>
      <color theme="10"/>
      <name val="Times New Roman"/>
      <family val="1"/>
    </font>
    <font>
      <sz val="10"/>
      <color rgb="FF000000"/>
      <name val="맑은 고딕"/>
      <family val="1"/>
      <charset val="129"/>
    </font>
  </fonts>
  <fills count="51">
    <fill>
      <patternFill patternType="none"/>
    </fill>
    <fill>
      <patternFill patternType="gray125"/>
    </fill>
    <fill>
      <patternFill patternType="solid">
        <fgColor rgb="FFE5E5E5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EEEEEE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rgb="FF000000"/>
      </patternFill>
    </fill>
    <fill>
      <patternFill patternType="solid">
        <fgColor rgb="FFC000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indexed="65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1498458815271462"/>
        <bgColor theme="0" tint="-0.34998626667073579"/>
      </patternFill>
    </fill>
    <fill>
      <patternFill patternType="solid">
        <fgColor theme="0" tint="-0.1498764000366222"/>
        <bgColor theme="0" tint="-0.34998626667073579"/>
      </patternFill>
    </fill>
    <fill>
      <patternFill patternType="solid">
        <fgColor theme="6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59999389629810485"/>
        <bgColor theme="4" tint="0.59999389629810485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0"/>
        <bgColor theme="4" tint="0.59999389629810485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3" tint="-0.249977111117893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lightUp">
        <fgColor theme="0" tint="-0.34998626667073579"/>
        <bgColor theme="3" tint="0.79998168889431442"/>
      </patternFill>
    </fill>
    <fill>
      <patternFill patternType="lightUp">
        <fgColor theme="0" tint="-0.34998626667073579"/>
        <bgColor theme="0" tint="-0.499984740745262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 tint="-0.499984740745262"/>
        <bgColor theme="0" tint="-0.34998626667073579"/>
      </patternFill>
    </fill>
    <fill>
      <patternFill patternType="solid">
        <fgColor theme="1" tint="0.499984740745262"/>
        <bgColor theme="0" tint="-0.34998626667073579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B9D08C"/>
        <bgColor indexed="64"/>
      </patternFill>
    </fill>
    <fill>
      <patternFill patternType="solid">
        <fgColor theme="3" tint="0.59999389629810485"/>
        <bgColor theme="0" tint="-0.34998626667073579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C000"/>
        <bgColor indexed="64"/>
      </patternFill>
    </fill>
    <fill>
      <patternFill patternType="lightUp">
        <fgColor theme="0" tint="-0.24994659260841701"/>
        <bgColor theme="0" tint="-0.34998626667073579"/>
      </patternFill>
    </fill>
    <fill>
      <patternFill patternType="solid">
        <fgColor rgb="FF41801E"/>
        <bgColor indexed="64"/>
      </patternFill>
    </fill>
    <fill>
      <patternFill patternType="solid">
        <fgColor theme="0" tint="-0.14999847407452621"/>
        <bgColor theme="0" tint="-0.34998626667073579"/>
      </patternFill>
    </fill>
  </fills>
  <borders count="187">
    <border>
      <left/>
      <right/>
      <top/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auto="1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auto="1"/>
      </bottom>
      <diagonal/>
    </border>
    <border>
      <left/>
      <right style="thin">
        <color indexed="64"/>
      </right>
      <top/>
      <bottom/>
      <diagonal/>
    </border>
    <border>
      <left/>
      <right/>
      <top style="thin">
        <color auto="1"/>
      </top>
      <bottom style="hair">
        <color theme="0" tint="-0.34998626667073579"/>
      </bottom>
      <diagonal/>
    </border>
    <border>
      <left/>
      <right/>
      <top/>
      <bottom style="hair">
        <color theme="0" tint="-0.34998626667073579"/>
      </bottom>
      <diagonal/>
    </border>
    <border>
      <left style="thin">
        <color indexed="64"/>
      </left>
      <right/>
      <top style="thin">
        <color indexed="64"/>
      </top>
      <bottom style="hair">
        <color theme="0" tint="-0.14996795556505021"/>
      </bottom>
      <diagonal/>
    </border>
    <border>
      <left/>
      <right/>
      <top style="thin">
        <color auto="1"/>
      </top>
      <bottom style="hair">
        <color theme="0" tint="-0.14996795556505021"/>
      </bottom>
      <diagonal/>
    </border>
    <border>
      <left/>
      <right/>
      <top style="thin">
        <color auto="1"/>
      </top>
      <bottom style="hair">
        <color theme="0" tint="-0.24994659260841701"/>
      </bottom>
      <diagonal/>
    </border>
    <border>
      <left/>
      <right/>
      <top/>
      <bottom style="hair">
        <color theme="0" tint="-0.24994659260841701"/>
      </bottom>
      <diagonal/>
    </border>
    <border>
      <left style="thin">
        <color auto="1"/>
      </left>
      <right/>
      <top/>
      <bottom/>
      <diagonal/>
    </border>
    <border>
      <left/>
      <right/>
      <top style="hair">
        <color theme="0" tint="-0.34998626667073579"/>
      </top>
      <bottom style="hair">
        <color theme="0" tint="-0.34998626667073579"/>
      </bottom>
      <diagonal/>
    </border>
    <border>
      <left style="thin">
        <color indexed="64"/>
      </left>
      <right/>
      <top style="hair">
        <color theme="0" tint="-0.14996795556505021"/>
      </top>
      <bottom style="thin">
        <color indexed="64"/>
      </bottom>
      <diagonal/>
    </border>
    <border>
      <left/>
      <right/>
      <top style="hair">
        <color theme="0" tint="-0.14996795556505021"/>
      </top>
      <bottom style="thin">
        <color indexed="64"/>
      </bottom>
      <diagonal/>
    </border>
    <border>
      <left/>
      <right/>
      <top style="hair">
        <color theme="0" tint="-0.34998626667073579"/>
      </top>
      <bottom style="thin">
        <color indexed="64"/>
      </bottom>
      <diagonal/>
    </border>
    <border>
      <left style="thin">
        <color auto="1"/>
      </left>
      <right/>
      <top/>
      <bottom style="hair">
        <color theme="0" tint="-0.34998626667073579"/>
      </bottom>
      <diagonal/>
    </border>
    <border>
      <left style="thin">
        <color auto="1"/>
      </left>
      <right/>
      <top style="hair">
        <color theme="0" tint="-0.34998626667073579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theme="1" tint="0.14996795556505021"/>
      </bottom>
      <diagonal/>
    </border>
    <border>
      <left style="thin">
        <color auto="1"/>
      </left>
      <right/>
      <top style="thin">
        <color auto="1"/>
      </top>
      <bottom style="hair">
        <color theme="0" tint="-0.34998626667073579"/>
      </bottom>
      <diagonal/>
    </border>
    <border>
      <left style="thin">
        <color auto="1"/>
      </left>
      <right/>
      <top style="hair">
        <color theme="0" tint="-0.34998626667073579"/>
      </top>
      <bottom style="hair">
        <color theme="0" tint="-0.34998626667073579"/>
      </bottom>
      <diagonal/>
    </border>
    <border>
      <left style="thin">
        <color indexed="64"/>
      </left>
      <right/>
      <top style="hair">
        <color theme="0" tint="-0.14996795556505021"/>
      </top>
      <bottom style="hair">
        <color theme="0" tint="-0.14996795556505021"/>
      </bottom>
      <diagonal/>
    </border>
    <border>
      <left/>
      <right/>
      <top style="hair">
        <color theme="0" tint="-0.14996795556505021"/>
      </top>
      <bottom style="hair">
        <color theme="0" tint="-0.14996795556505021"/>
      </bottom>
      <diagonal/>
    </border>
    <border>
      <left/>
      <right/>
      <top/>
      <bottom style="hair">
        <color theme="0" tint="-0.14996795556505021"/>
      </bottom>
      <diagonal/>
    </border>
    <border>
      <left/>
      <right/>
      <top style="hair">
        <color theme="0" tint="-0.24994659260841701"/>
      </top>
      <bottom style="hair">
        <color theme="0" tint="-0.24994659260841701"/>
      </bottom>
      <diagonal/>
    </border>
    <border>
      <left style="thin">
        <color auto="1"/>
      </left>
      <right/>
      <top style="hair">
        <color theme="0" tint="-0.34998626667073579"/>
      </top>
      <bottom style="hair">
        <color theme="0" tint="-0.14996795556505021"/>
      </bottom>
      <diagonal/>
    </border>
    <border>
      <left/>
      <right/>
      <top style="hair">
        <color theme="0" tint="-0.34998626667073579"/>
      </top>
      <bottom style="hair">
        <color theme="0" tint="-0.14996795556505021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theme="1"/>
      </left>
      <right/>
      <top/>
      <bottom/>
      <diagonal/>
    </border>
    <border>
      <left/>
      <right/>
      <top style="medium">
        <color theme="1"/>
      </top>
      <bottom/>
      <diagonal/>
    </border>
    <border>
      <left style="thin">
        <color theme="1" tint="0.249977111117893"/>
      </left>
      <right style="thin">
        <color theme="1" tint="0.249977111117893"/>
      </right>
      <top style="thin">
        <color theme="1" tint="0.249977111117893"/>
      </top>
      <bottom style="thin">
        <color theme="1" tint="0.249977111117893"/>
      </bottom>
      <diagonal/>
    </border>
    <border>
      <left style="thin">
        <color theme="1" tint="0.249977111117893"/>
      </left>
      <right style="thin">
        <color theme="1" tint="0.249977111117893"/>
      </right>
      <top style="thin">
        <color theme="1" tint="0.249977111117893"/>
      </top>
      <bottom/>
      <diagonal/>
    </border>
    <border diagonalUp="1">
      <left style="thin">
        <color theme="1" tint="0.249977111117893"/>
      </left>
      <right style="thin">
        <color theme="1" tint="0.249977111117893"/>
      </right>
      <top style="thin">
        <color theme="1" tint="0.249977111117893"/>
      </top>
      <bottom style="thin">
        <color theme="1" tint="0.249977111117893"/>
      </bottom>
      <diagonal style="thin">
        <color auto="1"/>
      </diagonal>
    </border>
    <border>
      <left style="thin">
        <color theme="1" tint="0.249977111117893"/>
      </left>
      <right/>
      <top style="thin">
        <color theme="1" tint="0.249977111117893"/>
      </top>
      <bottom style="thin">
        <color theme="1" tint="0.249977111117893"/>
      </bottom>
      <diagonal/>
    </border>
    <border>
      <left style="thin">
        <color theme="1" tint="0.249977111117893"/>
      </left>
      <right style="thin">
        <color theme="1" tint="0.249977111117893"/>
      </right>
      <top/>
      <bottom/>
      <diagonal/>
    </border>
    <border>
      <left style="medium">
        <color theme="1" tint="0.249977111117893"/>
      </left>
      <right style="thin">
        <color theme="1" tint="0.249977111117893"/>
      </right>
      <top style="medium">
        <color theme="1" tint="0.249977111117893"/>
      </top>
      <bottom style="thin">
        <color theme="1" tint="0.249977111117893"/>
      </bottom>
      <diagonal/>
    </border>
    <border>
      <left style="thin">
        <color theme="1" tint="0.249977111117893"/>
      </left>
      <right style="thin">
        <color theme="1" tint="0.249977111117893"/>
      </right>
      <top style="medium">
        <color theme="1" tint="0.249977111117893"/>
      </top>
      <bottom style="thin">
        <color theme="1" tint="0.249977111117893"/>
      </bottom>
      <diagonal/>
    </border>
    <border>
      <left style="thin">
        <color theme="1" tint="0.249977111117893"/>
      </left>
      <right style="medium">
        <color theme="1" tint="0.249977111117893"/>
      </right>
      <top style="medium">
        <color theme="1" tint="0.249977111117893"/>
      </top>
      <bottom style="thin">
        <color theme="1" tint="0.249977111117893"/>
      </bottom>
      <diagonal/>
    </border>
    <border>
      <left/>
      <right style="thin">
        <color theme="1" tint="0.249977111117893"/>
      </right>
      <top style="thin">
        <color theme="1" tint="0.249977111117893"/>
      </top>
      <bottom style="thin">
        <color theme="1" tint="0.249977111117893"/>
      </bottom>
      <diagonal/>
    </border>
    <border>
      <left style="medium">
        <color theme="1" tint="0.249977111117893"/>
      </left>
      <right style="thin">
        <color theme="1" tint="0.249977111117893"/>
      </right>
      <top style="thin">
        <color theme="1" tint="0.249977111117893"/>
      </top>
      <bottom style="thin">
        <color theme="1" tint="0.249977111117893"/>
      </bottom>
      <diagonal/>
    </border>
    <border>
      <left style="thin">
        <color theme="1" tint="0.249977111117893"/>
      </left>
      <right style="medium">
        <color theme="1" tint="0.249977111117893"/>
      </right>
      <top style="thin">
        <color theme="1" tint="0.249977111117893"/>
      </top>
      <bottom style="thin">
        <color theme="1" tint="0.249977111117893"/>
      </bottom>
      <diagonal/>
    </border>
    <border>
      <left style="medium">
        <color theme="1" tint="0.249977111117893"/>
      </left>
      <right style="thin">
        <color theme="1" tint="0.249977111117893"/>
      </right>
      <top style="thin">
        <color theme="1" tint="0.249977111117893"/>
      </top>
      <bottom/>
      <diagonal/>
    </border>
    <border>
      <left style="medium">
        <color theme="1" tint="0.249977111117893"/>
      </left>
      <right style="thin">
        <color theme="1" tint="0.249977111117893"/>
      </right>
      <top style="thin">
        <color theme="1" tint="0.249977111117893"/>
      </top>
      <bottom style="medium">
        <color theme="1" tint="0.249977111117893"/>
      </bottom>
      <diagonal/>
    </border>
    <border>
      <left style="thin">
        <color theme="1" tint="0.249977111117893"/>
      </left>
      <right style="thin">
        <color theme="1" tint="0.249977111117893"/>
      </right>
      <top style="thin">
        <color theme="1" tint="0.249977111117893"/>
      </top>
      <bottom style="medium">
        <color theme="1" tint="0.249977111117893"/>
      </bottom>
      <diagonal/>
    </border>
    <border>
      <left style="thin">
        <color theme="1" tint="0.249977111117893"/>
      </left>
      <right style="medium">
        <color theme="1" tint="0.249977111117893"/>
      </right>
      <top/>
      <bottom style="medium">
        <color theme="1" tint="0.249977111117893"/>
      </bottom>
      <diagonal/>
    </border>
    <border>
      <left style="thin">
        <color theme="1" tint="0.249977111117893"/>
      </left>
      <right style="thin">
        <color theme="1" tint="0.249977111117893"/>
      </right>
      <top/>
      <bottom style="thin">
        <color indexed="64"/>
      </bottom>
      <diagonal/>
    </border>
    <border>
      <left/>
      <right/>
      <top style="thin">
        <color theme="1" tint="0.249977111117893"/>
      </top>
      <bottom style="thin">
        <color theme="1" tint="0.249977111117893"/>
      </bottom>
      <diagonal/>
    </border>
    <border>
      <left style="thin">
        <color theme="1" tint="0.249977111117893"/>
      </left>
      <right/>
      <top/>
      <bottom style="thin">
        <color theme="1" tint="0.249977111117893"/>
      </bottom>
      <diagonal/>
    </border>
    <border>
      <left style="thin">
        <color theme="1" tint="0.249977111117893"/>
      </left>
      <right style="medium">
        <color theme="1" tint="0.249977111117893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/>
      <bottom style="thin">
        <color theme="1" tint="0.249977111117893"/>
      </bottom>
      <diagonal/>
    </border>
    <border>
      <left style="medium">
        <color indexed="64"/>
      </left>
      <right/>
      <top style="medium">
        <color indexed="64"/>
      </top>
      <bottom style="thin">
        <color rgb="FF000000"/>
      </bottom>
      <diagonal/>
    </border>
    <border>
      <left/>
      <right style="medium">
        <color indexed="64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indexed="64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thin">
        <color rgb="FF000000"/>
      </right>
      <top style="thin">
        <color rgb="FF000000"/>
      </top>
      <bottom style="medium">
        <color indexed="64"/>
      </bottom>
      <diagonal/>
    </border>
    <border>
      <left style="thin">
        <color rgb="FF000000"/>
      </left>
      <right style="medium">
        <color indexed="64"/>
      </right>
      <top style="thin">
        <color rgb="FF000000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thin">
        <color rgb="FF000000"/>
      </top>
      <bottom style="thin">
        <color rgb="FF000000"/>
      </bottom>
      <diagonal/>
    </border>
    <border>
      <left style="medium">
        <color indexed="64"/>
      </left>
      <right style="medium">
        <color indexed="64"/>
      </right>
      <top style="thin">
        <color rgb="FF000000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indexed="64"/>
      </bottom>
      <diagonal/>
    </border>
    <border>
      <left style="thin">
        <color rgb="FF000000"/>
      </left>
      <right/>
      <top style="thin">
        <color rgb="FF000000"/>
      </top>
      <bottom style="medium">
        <color indexed="64"/>
      </bottom>
      <diagonal/>
    </border>
    <border>
      <left style="medium">
        <color indexed="64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 style="thin">
        <color rgb="FF000000"/>
      </right>
      <top/>
      <bottom style="medium">
        <color indexed="64"/>
      </bottom>
      <diagonal/>
    </border>
    <border>
      <left style="thin">
        <color rgb="FF000000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rgb="FF000000"/>
      </right>
      <top style="thin">
        <color rgb="FF000000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 diagonalUp="1">
      <left/>
      <right style="thin">
        <color theme="1" tint="0.249977111117893"/>
      </right>
      <top style="thin">
        <color theme="1" tint="0.249977111117893"/>
      </top>
      <bottom style="thin">
        <color theme="1" tint="0.249977111117893"/>
      </bottom>
      <diagonal style="thin">
        <color auto="1"/>
      </diagonal>
    </border>
    <border>
      <left/>
      <right style="thin">
        <color theme="1" tint="0.249977111117893"/>
      </right>
      <top style="thin">
        <color indexed="64"/>
      </top>
      <bottom style="thin">
        <color theme="1" tint="0.249977111117893"/>
      </bottom>
      <diagonal/>
    </border>
    <border>
      <left style="thin">
        <color theme="1" tint="0.249977111117893"/>
      </left>
      <right/>
      <top style="thin">
        <color indexed="64"/>
      </top>
      <bottom style="thin">
        <color theme="1" tint="0.249977111117893"/>
      </bottom>
      <diagonal/>
    </border>
    <border>
      <left style="thin">
        <color theme="1" tint="0.249977111117893"/>
      </left>
      <right style="thin">
        <color indexed="64"/>
      </right>
      <top style="thin">
        <color indexed="64"/>
      </top>
      <bottom style="thin">
        <color theme="1" tint="0.249977111117893"/>
      </bottom>
      <diagonal/>
    </border>
    <border>
      <left style="thin">
        <color theme="1" tint="0.249977111117893"/>
      </left>
      <right style="thin">
        <color indexed="64"/>
      </right>
      <top style="thin">
        <color theme="1" tint="0.249977111117893"/>
      </top>
      <bottom style="thin">
        <color theme="1" tint="0.249977111117893"/>
      </bottom>
      <diagonal/>
    </border>
    <border>
      <left style="thin">
        <color theme="1" tint="0.249977111117893"/>
      </left>
      <right style="thin">
        <color theme="1" tint="0.249977111117893"/>
      </right>
      <top style="medium">
        <color indexed="64"/>
      </top>
      <bottom style="thin">
        <color theme="1" tint="0.249977111117893"/>
      </bottom>
      <diagonal/>
    </border>
    <border diagonalUp="1">
      <left style="thin">
        <color theme="1" tint="0.249977111117893"/>
      </left>
      <right style="thin">
        <color theme="1" tint="0.249977111117893"/>
      </right>
      <top style="medium">
        <color indexed="64"/>
      </top>
      <bottom style="thin">
        <color theme="1" tint="0.249977111117893"/>
      </bottom>
      <diagonal style="thin">
        <color auto="1"/>
      </diagonal>
    </border>
    <border>
      <left style="thin">
        <color theme="1" tint="0.249977111117893"/>
      </left>
      <right/>
      <top style="medium">
        <color indexed="64"/>
      </top>
      <bottom style="thin">
        <color theme="1" tint="0.249977111117893"/>
      </bottom>
      <diagonal/>
    </border>
    <border>
      <left style="thin">
        <color theme="1" tint="0.249977111117893"/>
      </left>
      <right style="medium">
        <color indexed="64"/>
      </right>
      <top style="medium">
        <color indexed="64"/>
      </top>
      <bottom/>
      <diagonal/>
    </border>
    <border>
      <left style="thin">
        <color theme="1" tint="0.249977111117893"/>
      </left>
      <right style="thin">
        <color theme="1" tint="0.249977111117893"/>
      </right>
      <top style="thin">
        <color theme="1" tint="0.249977111117893"/>
      </top>
      <bottom style="medium">
        <color indexed="64"/>
      </bottom>
      <diagonal/>
    </border>
    <border diagonalUp="1">
      <left style="thin">
        <color theme="1" tint="0.249977111117893"/>
      </left>
      <right style="thin">
        <color theme="1" tint="0.249977111117893"/>
      </right>
      <top style="thin">
        <color theme="1" tint="0.249977111117893"/>
      </top>
      <bottom style="medium">
        <color indexed="64"/>
      </bottom>
      <diagonal style="thin">
        <color auto="1"/>
      </diagonal>
    </border>
    <border>
      <left style="thin">
        <color theme="1" tint="0.249977111117893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 style="thin">
        <color theme="1" tint="0.249977111117893"/>
      </bottom>
      <diagonal/>
    </border>
    <border>
      <left/>
      <right style="medium">
        <color indexed="64"/>
      </right>
      <top/>
      <bottom style="thin">
        <color theme="1" tint="0.249977111117893"/>
      </bottom>
      <diagonal/>
    </border>
    <border>
      <left style="medium">
        <color indexed="64"/>
      </left>
      <right style="thin">
        <color theme="1" tint="0.249977111117893"/>
      </right>
      <top style="thin">
        <color theme="1" tint="0.249977111117893"/>
      </top>
      <bottom style="thin">
        <color theme="1" tint="0.249977111117893"/>
      </bottom>
      <diagonal/>
    </border>
    <border>
      <left style="thin">
        <color theme="1" tint="0.249977111117893"/>
      </left>
      <right style="medium">
        <color indexed="64"/>
      </right>
      <top style="thin">
        <color theme="1" tint="0.249977111117893"/>
      </top>
      <bottom style="thin">
        <color theme="1" tint="0.249977111117893"/>
      </bottom>
      <diagonal/>
    </border>
    <border diagonalUp="1">
      <left style="thin">
        <color theme="1" tint="0.249977111117893"/>
      </left>
      <right style="medium">
        <color indexed="64"/>
      </right>
      <top style="thin">
        <color theme="1" tint="0.249977111117893"/>
      </top>
      <bottom style="thin">
        <color theme="1" tint="0.249977111117893"/>
      </bottom>
      <diagonal style="thin">
        <color auto="1"/>
      </diagonal>
    </border>
    <border>
      <left style="medium">
        <color indexed="64"/>
      </left>
      <right style="thin">
        <color theme="1" tint="0.249977111117893"/>
      </right>
      <top style="thin">
        <color theme="1" tint="0.249977111117893"/>
      </top>
      <bottom style="medium">
        <color indexed="64"/>
      </bottom>
      <diagonal/>
    </border>
    <border diagonalUp="1">
      <left style="thin">
        <color theme="1" tint="0.249977111117893"/>
      </left>
      <right style="medium">
        <color indexed="64"/>
      </right>
      <top style="thin">
        <color theme="1" tint="0.249977111117893"/>
      </top>
      <bottom style="medium">
        <color indexed="64"/>
      </bottom>
      <diagonal style="thin">
        <color auto="1"/>
      </diagonal>
    </border>
    <border>
      <left style="thin">
        <color theme="1" tint="0.249977111117893"/>
      </left>
      <right/>
      <top style="medium">
        <color indexed="64"/>
      </top>
      <bottom/>
      <diagonal/>
    </border>
    <border>
      <left style="thin">
        <color theme="1" tint="0.249977111117893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theme="1" tint="0.249977111117893"/>
      </left>
      <right style="thin">
        <color theme="1" tint="0.249977111117893"/>
      </right>
      <top style="medium">
        <color indexed="64"/>
      </top>
      <bottom style="medium">
        <color indexed="64"/>
      </bottom>
      <diagonal/>
    </border>
    <border diagonalUp="1">
      <left style="thin">
        <color theme="1" tint="0.249977111117893"/>
      </left>
      <right style="thin">
        <color theme="1" tint="0.249977111117893"/>
      </right>
      <top style="medium">
        <color indexed="64"/>
      </top>
      <bottom style="medium">
        <color indexed="64"/>
      </bottom>
      <diagonal style="thin">
        <color auto="1"/>
      </diagonal>
    </border>
    <border>
      <left style="thin">
        <color theme="1" tint="0.249977111117893"/>
      </left>
      <right style="thin">
        <color theme="1" tint="0.249977111117893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 diagonalUp="1">
      <left/>
      <right style="thin">
        <color theme="1" tint="0.249977111117893"/>
      </right>
      <top style="medium">
        <color indexed="64"/>
      </top>
      <bottom style="thin">
        <color theme="1" tint="0.249977111117893"/>
      </bottom>
      <diagonal style="thin">
        <color auto="1"/>
      </diagonal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theme="1" tint="0.249977111117893"/>
      </left>
      <right style="thin">
        <color theme="1" tint="0.249977111117893"/>
      </right>
      <top/>
      <bottom style="medium">
        <color indexed="64"/>
      </bottom>
      <diagonal/>
    </border>
    <border diagonalUp="1">
      <left style="thin">
        <color theme="1" tint="0.249977111117893"/>
      </left>
      <right style="thin">
        <color theme="1" tint="0.249977111117893"/>
      </right>
      <top/>
      <bottom style="medium">
        <color indexed="64"/>
      </bottom>
      <diagonal style="thin">
        <color auto="1"/>
      </diagonal>
    </border>
    <border>
      <left style="thin">
        <color theme="1" tint="0.249977111117893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1" tint="0.249977111117893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theme="1" tint="0.249977111117893"/>
      </right>
      <top style="medium">
        <color indexed="64"/>
      </top>
      <bottom/>
      <diagonal/>
    </border>
    <border>
      <left style="medium">
        <color indexed="64"/>
      </left>
      <right style="thin">
        <color theme="1" tint="0.249977111117893"/>
      </right>
      <top/>
      <bottom style="medium">
        <color indexed="64"/>
      </bottom>
      <diagonal/>
    </border>
    <border>
      <left/>
      <right style="thin">
        <color theme="1" tint="0.249977111117893"/>
      </right>
      <top style="thin">
        <color theme="1" tint="0.249977111117893"/>
      </top>
      <bottom style="thin">
        <color indexed="64"/>
      </bottom>
      <diagonal/>
    </border>
    <border>
      <left/>
      <right/>
      <top style="thin">
        <color theme="1" tint="0.249977111117893"/>
      </top>
      <bottom style="thin">
        <color indexed="64"/>
      </bottom>
      <diagonal/>
    </border>
    <border>
      <left/>
      <right/>
      <top style="thin">
        <color indexed="64"/>
      </top>
      <bottom style="thin">
        <color theme="1" tint="0.249977111117893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theme="1" tint="0.249977111117893"/>
      </right>
      <top style="medium">
        <color indexed="64"/>
      </top>
      <bottom style="thin">
        <color theme="1" tint="0.249977111117893"/>
      </bottom>
      <diagonal/>
    </border>
    <border>
      <left/>
      <right style="thin">
        <color theme="1" tint="0.249977111117893"/>
      </right>
      <top style="thin">
        <color theme="1" tint="0.249977111117893"/>
      </top>
      <bottom style="medium">
        <color indexed="64"/>
      </bottom>
      <diagonal/>
    </border>
    <border>
      <left/>
      <right style="thin">
        <color theme="1" tint="0.249977111117893"/>
      </right>
      <top style="medium">
        <color indexed="64"/>
      </top>
      <bottom/>
      <diagonal/>
    </border>
    <border>
      <left/>
      <right style="thin">
        <color theme="1" tint="0.249977111117893"/>
      </right>
      <top/>
      <bottom/>
      <diagonal/>
    </border>
    <border>
      <left/>
      <right style="thin">
        <color theme="1" tint="0.249977111117893"/>
      </right>
      <top/>
      <bottom style="thin">
        <color theme="1" tint="0.249977111117893"/>
      </bottom>
      <diagonal/>
    </border>
    <border>
      <left/>
      <right style="thin">
        <color theme="1" tint="0.249977111117893"/>
      </right>
      <top style="medium">
        <color indexed="64"/>
      </top>
      <bottom style="medium">
        <color indexed="64"/>
      </bottom>
      <diagonal/>
    </border>
    <border>
      <left/>
      <right style="thin">
        <color theme="1" tint="0.249977111117893"/>
      </right>
      <top/>
      <bottom style="medium">
        <color indexed="64"/>
      </bottom>
      <diagonal/>
    </border>
    <border>
      <left style="medium">
        <color theme="1" tint="4.9989318521683403E-2"/>
      </left>
      <right style="medium">
        <color theme="1" tint="4.9989318521683403E-2"/>
      </right>
      <top style="medium">
        <color theme="1" tint="4.9989318521683403E-2"/>
      </top>
      <bottom style="thin">
        <color theme="0"/>
      </bottom>
      <diagonal/>
    </border>
    <border>
      <left style="medium">
        <color theme="1" tint="4.9989318521683403E-2"/>
      </left>
      <right style="medium">
        <color theme="1" tint="4.9989318521683403E-2"/>
      </right>
      <top style="thin">
        <color theme="0"/>
      </top>
      <bottom style="thin">
        <color theme="0"/>
      </bottom>
      <diagonal/>
    </border>
    <border>
      <left style="medium">
        <color theme="1" tint="4.9989318521683403E-2"/>
      </left>
      <right style="medium">
        <color theme="1" tint="4.9989318521683403E-2"/>
      </right>
      <top style="thin">
        <color theme="0"/>
      </top>
      <bottom style="medium">
        <color theme="1" tint="4.9989318521683403E-2"/>
      </bottom>
      <diagonal/>
    </border>
    <border>
      <left style="medium">
        <color indexed="64"/>
      </left>
      <right/>
      <top style="thin">
        <color auto="1"/>
      </top>
      <bottom/>
      <diagonal/>
    </border>
    <border>
      <left style="medium">
        <color theme="1" tint="4.9989318521683403E-2"/>
      </left>
      <right style="medium">
        <color theme="1" tint="4.9989318521683403E-2"/>
      </right>
      <top style="thin">
        <color theme="0"/>
      </top>
      <bottom/>
      <diagonal/>
    </border>
    <border>
      <left style="medium">
        <color theme="1" tint="4.9989318521683403E-2"/>
      </left>
      <right style="medium">
        <color theme="1" tint="4.9989318521683403E-2"/>
      </right>
      <top/>
      <bottom/>
      <diagonal/>
    </border>
    <border>
      <left style="medium">
        <color theme="1" tint="4.9989318521683403E-2"/>
      </left>
      <right style="medium">
        <color theme="1" tint="4.9989318521683403E-2"/>
      </right>
      <top/>
      <bottom style="thin">
        <color theme="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auto="1"/>
      </top>
      <bottom style="hair">
        <color indexed="64"/>
      </bottom>
      <diagonal/>
    </border>
    <border>
      <left/>
      <right/>
      <top style="thin">
        <color auto="1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hair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hair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hair">
        <color theme="0" tint="-0.34998626667073579"/>
      </bottom>
      <diagonal/>
    </border>
    <border>
      <left/>
      <right style="medium">
        <color indexed="64"/>
      </right>
      <top style="hair">
        <color theme="0" tint="-0.34998626667073579"/>
      </top>
      <bottom style="hair">
        <color theme="0" tint="-0.34998626667073579"/>
      </bottom>
      <diagonal/>
    </border>
    <border>
      <left/>
      <right style="medium">
        <color indexed="64"/>
      </right>
      <top style="hair">
        <color theme="0" tint="-0.34998626667073579"/>
      </top>
      <bottom style="thin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indexed="64"/>
      </bottom>
      <diagonal/>
    </border>
    <border>
      <left style="medium">
        <color indexed="64"/>
      </left>
      <right/>
      <top/>
      <bottom style="thin">
        <color auto="1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hair">
        <color theme="0" tint="-0.34998626667073579"/>
      </bottom>
      <diagonal/>
    </border>
    <border>
      <left/>
      <right style="medium">
        <color indexed="64"/>
      </right>
      <top style="thin">
        <color auto="1"/>
      </top>
      <bottom style="hair">
        <color indexed="64"/>
      </bottom>
      <diagonal/>
    </border>
    <border>
      <left/>
      <right style="medium">
        <color indexed="64"/>
      </right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 style="hair">
        <color indexed="64"/>
      </top>
      <bottom style="thin">
        <color indexed="64"/>
      </bottom>
      <diagonal/>
    </border>
    <border>
      <left/>
      <right style="medium">
        <color indexed="64"/>
      </right>
      <top style="hair">
        <color theme="0" tint="-0.34998626667073579"/>
      </top>
      <bottom style="hair">
        <color theme="0" tint="-0.14996795556505021"/>
      </bottom>
      <diagonal/>
    </border>
    <border>
      <left/>
      <right style="medium">
        <color indexed="64"/>
      </right>
      <top/>
      <bottom style="hair">
        <color theme="0" tint="-0.24994659260841701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hair">
        <color theme="0" tint="-0.14996795556505021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auto="1"/>
      </left>
      <right/>
      <top/>
      <bottom style="medium">
        <color indexed="64"/>
      </bottom>
      <diagonal/>
    </border>
    <border>
      <left/>
      <right/>
      <top style="hair">
        <color theme="0" tint="-0.24994659260841701"/>
      </top>
      <bottom style="medium">
        <color indexed="64"/>
      </bottom>
      <diagonal/>
    </border>
    <border>
      <left style="medium">
        <color indexed="64"/>
      </left>
      <right style="thin">
        <color theme="1" tint="0.249977111117893"/>
      </right>
      <top style="medium">
        <color indexed="64"/>
      </top>
      <bottom style="thin">
        <color theme="1" tint="0.249977111117893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theme="1" tint="0.249977111117893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</borders>
  <cellStyleXfs count="11">
    <xf numFmtId="0" fontId="0" fillId="0" borderId="0"/>
    <xf numFmtId="177" fontId="7" fillId="0" borderId="0" applyFont="0" applyFill="0" applyBorder="0" applyAlignment="0" applyProtection="0">
      <alignment vertical="center"/>
    </xf>
    <xf numFmtId="9" fontId="7" fillId="0" borderId="0" applyFont="0" applyFill="0" applyBorder="0" applyAlignment="0" applyProtection="0">
      <alignment vertical="center"/>
    </xf>
    <xf numFmtId="0" fontId="8" fillId="0" borderId="0">
      <alignment vertical="center"/>
    </xf>
    <xf numFmtId="177" fontId="8" fillId="0" borderId="0" applyFont="0" applyFill="0" applyBorder="0" applyAlignment="0" applyProtection="0">
      <alignment vertical="center"/>
    </xf>
    <xf numFmtId="9" fontId="8" fillId="0" borderId="0" applyFont="0" applyFill="0" applyBorder="0" applyAlignment="0" applyProtection="0">
      <alignment vertical="center"/>
    </xf>
    <xf numFmtId="41" fontId="8" fillId="0" borderId="0" applyFont="0" applyFill="0" applyBorder="0" applyAlignment="0" applyProtection="0">
      <alignment vertical="center"/>
    </xf>
    <xf numFmtId="0" fontId="22" fillId="0" borderId="0"/>
    <xf numFmtId="9" fontId="22" fillId="0" borderId="0" applyFont="0" applyFill="0" applyBorder="0" applyAlignment="0" applyProtection="0">
      <alignment vertical="center"/>
    </xf>
    <xf numFmtId="177" fontId="22" fillId="0" borderId="0" applyFont="0" applyFill="0" applyBorder="0" applyAlignment="0" applyProtection="0">
      <alignment vertical="center"/>
    </xf>
    <xf numFmtId="0" fontId="79" fillId="0" borderId="0" applyNumberFormat="0" applyFill="0" applyBorder="0" applyAlignment="0" applyProtection="0"/>
  </cellStyleXfs>
  <cellXfs count="864">
    <xf numFmtId="0" fontId="0" fillId="0" borderId="0" xfId="0" applyAlignment="1">
      <alignment horizontal="left" vertical="top"/>
    </xf>
    <xf numFmtId="0" fontId="2" fillId="0" borderId="0" xfId="0" applyFont="1" applyAlignment="1">
      <alignment horizontal="left" vertical="top"/>
    </xf>
    <xf numFmtId="0" fontId="3" fillId="2" borderId="3" xfId="0" applyFont="1" applyFill="1" applyBorder="1" applyAlignment="1">
      <alignment horizontal="center" vertical="center" wrapText="1"/>
    </xf>
    <xf numFmtId="180" fontId="3" fillId="0" borderId="3" xfId="0" applyNumberFormat="1" applyFont="1" applyBorder="1" applyAlignment="1">
      <alignment horizontal="center" vertical="center" wrapText="1"/>
    </xf>
    <xf numFmtId="181" fontId="3" fillId="0" borderId="4" xfId="0" applyNumberFormat="1" applyFont="1" applyBorder="1" applyAlignment="1">
      <alignment horizontal="center" vertical="center" wrapText="1"/>
    </xf>
    <xf numFmtId="1" fontId="4" fillId="0" borderId="1" xfId="0" applyNumberFormat="1" applyFont="1" applyBorder="1" applyAlignment="1">
      <alignment horizontal="center" vertical="center" shrinkToFit="1"/>
    </xf>
    <xf numFmtId="183" fontId="3" fillId="0" borderId="3" xfId="0" applyNumberFormat="1" applyFont="1" applyBorder="1" applyAlignment="1">
      <alignment horizontal="center" vertical="center" wrapText="1"/>
    </xf>
    <xf numFmtId="184" fontId="3" fillId="0" borderId="3" xfId="0" applyNumberFormat="1" applyFont="1" applyBorder="1" applyAlignment="1">
      <alignment horizontal="center" vertical="center" wrapText="1"/>
    </xf>
    <xf numFmtId="0" fontId="11" fillId="0" borderId="0" xfId="3" applyFont="1">
      <alignment vertical="center"/>
    </xf>
    <xf numFmtId="0" fontId="11" fillId="0" borderId="7" xfId="3" applyFont="1" applyBorder="1">
      <alignment vertical="center"/>
    </xf>
    <xf numFmtId="0" fontId="12" fillId="0" borderId="0" xfId="3" applyFont="1">
      <alignment vertical="center"/>
    </xf>
    <xf numFmtId="185" fontId="16" fillId="5" borderId="18" xfId="3" applyNumberFormat="1" applyFont="1" applyFill="1" applyBorder="1" applyAlignment="1">
      <alignment horizontal="centerContinuous" vertical="center"/>
    </xf>
    <xf numFmtId="185" fontId="16" fillId="5" borderId="19" xfId="3" applyNumberFormat="1" applyFont="1" applyFill="1" applyBorder="1" applyAlignment="1">
      <alignment horizontal="centerContinuous" vertical="center"/>
    </xf>
    <xf numFmtId="0" fontId="11" fillId="0" borderId="24" xfId="3" applyFont="1" applyBorder="1">
      <alignment vertical="center"/>
    </xf>
    <xf numFmtId="0" fontId="11" fillId="0" borderId="26" xfId="3" applyFont="1" applyBorder="1">
      <alignment vertical="center"/>
    </xf>
    <xf numFmtId="0" fontId="11" fillId="0" borderId="27" xfId="3" applyFont="1" applyBorder="1" applyAlignment="1">
      <alignment horizontal="centerContinuous" vertical="center"/>
    </xf>
    <xf numFmtId="0" fontId="11" fillId="0" borderId="28" xfId="3" applyFont="1" applyBorder="1">
      <alignment vertical="center"/>
    </xf>
    <xf numFmtId="0" fontId="11" fillId="0" borderId="29" xfId="3" applyFont="1" applyBorder="1">
      <alignment vertical="center"/>
    </xf>
    <xf numFmtId="185" fontId="11" fillId="0" borderId="27" xfId="3" applyNumberFormat="1" applyFont="1" applyBorder="1" applyAlignment="1">
      <alignment horizontal="centerContinuous" vertical="center"/>
    </xf>
    <xf numFmtId="0" fontId="11" fillId="0" borderId="33" xfId="3" applyFont="1" applyBorder="1">
      <alignment vertical="center"/>
    </xf>
    <xf numFmtId="0" fontId="11" fillId="0" borderId="33" xfId="3" applyFont="1" applyBorder="1" applyAlignment="1">
      <alignment horizontal="centerContinuous" vertical="center"/>
    </xf>
    <xf numFmtId="6" fontId="11" fillId="0" borderId="24" xfId="3" applyNumberFormat="1" applyFont="1" applyBorder="1" applyAlignment="1">
      <alignment horizontal="centerContinuous" vertical="center"/>
    </xf>
    <xf numFmtId="0" fontId="11" fillId="0" borderId="22" xfId="3" applyFont="1" applyBorder="1" applyAlignment="1">
      <alignment horizontal="left" vertical="center"/>
    </xf>
    <xf numFmtId="0" fontId="11" fillId="0" borderId="24" xfId="3" applyFont="1" applyBorder="1" applyAlignment="1">
      <alignment horizontal="centerContinuous" vertical="center"/>
    </xf>
    <xf numFmtId="0" fontId="11" fillId="0" borderId="36" xfId="3" applyFont="1" applyBorder="1">
      <alignment vertical="center"/>
    </xf>
    <xf numFmtId="185" fontId="11" fillId="0" borderId="36" xfId="3" applyNumberFormat="1" applyFont="1" applyBorder="1" applyAlignment="1">
      <alignment horizontal="centerContinuous" vertical="center"/>
    </xf>
    <xf numFmtId="0" fontId="11" fillId="0" borderId="38" xfId="3" applyFont="1" applyBorder="1" applyAlignment="1">
      <alignment horizontal="centerContinuous" vertical="center"/>
    </xf>
    <xf numFmtId="0" fontId="11" fillId="0" borderId="36" xfId="3" applyFont="1" applyBorder="1" applyAlignment="1">
      <alignment horizontal="centerContinuous" vertical="center"/>
    </xf>
    <xf numFmtId="185" fontId="11" fillId="0" borderId="33" xfId="3" applyNumberFormat="1" applyFont="1" applyBorder="1" applyAlignment="1">
      <alignment horizontal="centerContinuous" vertical="center"/>
    </xf>
    <xf numFmtId="0" fontId="11" fillId="0" borderId="22" xfId="3" applyFont="1" applyBorder="1" applyAlignment="1">
      <alignment horizontal="centerContinuous" vertical="center"/>
    </xf>
    <xf numFmtId="0" fontId="11" fillId="0" borderId="40" xfId="3" applyFont="1" applyBorder="1">
      <alignment vertical="center"/>
    </xf>
    <xf numFmtId="187" fontId="11" fillId="0" borderId="24" xfId="3" applyNumberFormat="1" applyFont="1" applyBorder="1" applyAlignment="1">
      <alignment horizontal="centerContinuous" vertical="center"/>
    </xf>
    <xf numFmtId="0" fontId="11" fillId="0" borderId="41" xfId="3" applyFont="1" applyBorder="1">
      <alignment vertical="center"/>
    </xf>
    <xf numFmtId="0" fontId="11" fillId="0" borderId="38" xfId="3" applyFont="1" applyBorder="1">
      <alignment vertical="center"/>
    </xf>
    <xf numFmtId="188" fontId="11" fillId="0" borderId="36" xfId="3" applyNumberFormat="1" applyFont="1" applyBorder="1" applyAlignment="1">
      <alignment horizontal="centerContinuous" vertical="center"/>
    </xf>
    <xf numFmtId="0" fontId="11" fillId="0" borderId="42" xfId="3" applyFont="1" applyBorder="1">
      <alignment vertical="center"/>
    </xf>
    <xf numFmtId="0" fontId="11" fillId="0" borderId="47" xfId="3" applyFont="1" applyBorder="1">
      <alignment vertical="center"/>
    </xf>
    <xf numFmtId="0" fontId="11" fillId="0" borderId="48" xfId="3" applyFont="1" applyBorder="1">
      <alignment vertical="center"/>
    </xf>
    <xf numFmtId="179" fontId="11" fillId="0" borderId="48" xfId="5" applyNumberFormat="1" applyFont="1" applyBorder="1" applyAlignment="1">
      <alignment horizontal="centerContinuous" vertical="center"/>
    </xf>
    <xf numFmtId="0" fontId="11" fillId="0" borderId="22" xfId="3" applyFont="1" applyBorder="1">
      <alignment vertical="center"/>
    </xf>
    <xf numFmtId="179" fontId="11" fillId="0" borderId="24" xfId="5" applyNumberFormat="1" applyFont="1" applyBorder="1" applyAlignment="1">
      <alignment horizontal="centerContinuous" vertical="center"/>
    </xf>
    <xf numFmtId="0" fontId="11" fillId="0" borderId="10" xfId="3" applyFont="1" applyBorder="1">
      <alignment vertical="center"/>
    </xf>
    <xf numFmtId="0" fontId="23" fillId="13" borderId="0" xfId="7" quotePrefix="1" applyFont="1" applyFill="1" applyAlignment="1">
      <alignment vertical="center"/>
    </xf>
    <xf numFmtId="0" fontId="24" fillId="0" borderId="0" xfId="7" applyFont="1" applyAlignment="1">
      <alignment vertical="center"/>
    </xf>
    <xf numFmtId="0" fontId="27" fillId="0" borderId="0" xfId="3" applyFont="1" applyAlignment="1">
      <alignment vertical="center" wrapText="1"/>
    </xf>
    <xf numFmtId="0" fontId="27" fillId="0" borderId="0" xfId="3" applyFont="1">
      <alignment vertical="center"/>
    </xf>
    <xf numFmtId="0" fontId="27" fillId="16" borderId="0" xfId="3" applyFont="1" applyFill="1" applyAlignment="1">
      <alignment horizontal="left" vertical="center"/>
    </xf>
    <xf numFmtId="0" fontId="25" fillId="16" borderId="0" xfId="3" applyFont="1" applyFill="1" applyAlignment="1">
      <alignment horizontal="center" vertical="center"/>
    </xf>
    <xf numFmtId="0" fontId="27" fillId="0" borderId="0" xfId="3" applyFont="1" applyAlignment="1">
      <alignment horizontal="left" vertical="center"/>
    </xf>
    <xf numFmtId="0" fontId="27" fillId="0" borderId="0" xfId="3" applyFont="1" applyAlignment="1">
      <alignment horizontal="center" vertical="center"/>
    </xf>
    <xf numFmtId="0" fontId="27" fillId="0" borderId="54" xfId="3" applyFont="1" applyBorder="1">
      <alignment vertical="center"/>
    </xf>
    <xf numFmtId="0" fontId="30" fillId="0" borderId="0" xfId="3" applyFont="1" applyAlignment="1">
      <alignment horizontal="left" vertical="center"/>
    </xf>
    <xf numFmtId="0" fontId="28" fillId="0" borderId="0" xfId="3" applyFont="1" applyAlignment="1">
      <alignment horizontal="center" vertical="center"/>
    </xf>
    <xf numFmtId="0" fontId="27" fillId="19" borderId="52" xfId="6" applyNumberFormat="1" applyFont="1" applyFill="1" applyBorder="1" applyAlignment="1">
      <alignment horizontal="left" vertical="center"/>
    </xf>
    <xf numFmtId="0" fontId="25" fillId="0" borderId="55" xfId="3" applyFont="1" applyBorder="1" applyAlignment="1">
      <alignment horizontal="center" vertical="center" wrapText="1"/>
    </xf>
    <xf numFmtId="0" fontId="26" fillId="20" borderId="57" xfId="3" applyFont="1" applyFill="1" applyBorder="1" applyAlignment="1">
      <alignment horizontal="center" vertical="center"/>
    </xf>
    <xf numFmtId="0" fontId="26" fillId="20" borderId="58" xfId="3" applyFont="1" applyFill="1" applyBorder="1" applyAlignment="1">
      <alignment horizontal="center" vertical="center"/>
    </xf>
    <xf numFmtId="0" fontId="26" fillId="20" borderId="59" xfId="3" applyFont="1" applyFill="1" applyBorder="1" applyAlignment="1">
      <alignment horizontal="center" vertical="center"/>
    </xf>
    <xf numFmtId="0" fontId="26" fillId="20" borderId="64" xfId="3" applyFont="1" applyFill="1" applyBorder="1" applyAlignment="1">
      <alignment horizontal="center" vertical="center"/>
    </xf>
    <xf numFmtId="0" fontId="30" fillId="16" borderId="0" xfId="3" applyFont="1" applyFill="1" applyAlignment="1">
      <alignment horizontal="left" vertical="center"/>
    </xf>
    <xf numFmtId="0" fontId="28" fillId="16" borderId="0" xfId="3" applyFont="1" applyFill="1" applyAlignment="1">
      <alignment horizontal="center" vertical="center"/>
    </xf>
    <xf numFmtId="0" fontId="25" fillId="0" borderId="0" xfId="3" applyFont="1" applyAlignment="1">
      <alignment horizontal="center" vertical="center"/>
    </xf>
    <xf numFmtId="0" fontId="27" fillId="6" borderId="52" xfId="3" applyFont="1" applyFill="1" applyBorder="1" applyAlignment="1">
      <alignment horizontal="center" vertical="center"/>
    </xf>
    <xf numFmtId="0" fontId="26" fillId="0" borderId="0" xfId="3" applyFont="1" applyAlignment="1">
      <alignment horizontal="center" vertical="center"/>
    </xf>
    <xf numFmtId="0" fontId="27" fillId="15" borderId="52" xfId="3" applyFont="1" applyFill="1" applyBorder="1" applyAlignment="1">
      <alignment horizontal="center" vertical="center"/>
    </xf>
    <xf numFmtId="0" fontId="0" fillId="0" borderId="0" xfId="0" applyAlignment="1">
      <alignment horizontal="center" vertical="top"/>
    </xf>
    <xf numFmtId="0" fontId="0" fillId="0" borderId="0" xfId="0" applyAlignment="1">
      <alignment horizontal="left" vertical="top" wrapText="1"/>
    </xf>
    <xf numFmtId="0" fontId="34" fillId="22" borderId="23" xfId="0" applyFont="1" applyFill="1" applyBorder="1" applyAlignment="1">
      <alignment horizontal="center" vertical="center" wrapText="1"/>
    </xf>
    <xf numFmtId="0" fontId="38" fillId="22" borderId="22" xfId="0" applyFont="1" applyFill="1" applyBorder="1" applyAlignment="1">
      <alignment horizontal="center" vertical="center" wrapText="1"/>
    </xf>
    <xf numFmtId="0" fontId="33" fillId="0" borderId="21" xfId="0" applyFont="1" applyBorder="1" applyAlignment="1">
      <alignment horizontal="left" vertical="top"/>
    </xf>
    <xf numFmtId="0" fontId="7" fillId="0" borderId="16" xfId="0" applyFont="1" applyBorder="1" applyAlignment="1">
      <alignment horizontal="center" vertical="top"/>
    </xf>
    <xf numFmtId="0" fontId="37" fillId="0" borderId="15" xfId="0" applyFont="1" applyBorder="1" applyAlignment="1">
      <alignment horizontal="left" vertical="top"/>
    </xf>
    <xf numFmtId="0" fontId="7" fillId="0" borderId="14" xfId="0" applyFont="1" applyBorder="1" applyAlignment="1">
      <alignment horizontal="center" vertical="top"/>
    </xf>
    <xf numFmtId="0" fontId="34" fillId="22" borderId="39" xfId="0" applyFont="1" applyFill="1" applyBorder="1" applyAlignment="1">
      <alignment horizontal="center" vertical="center" wrapText="1"/>
    </xf>
    <xf numFmtId="0" fontId="39" fillId="23" borderId="39" xfId="0" applyFont="1" applyFill="1" applyBorder="1" applyAlignment="1">
      <alignment horizontal="center" vertical="top"/>
    </xf>
    <xf numFmtId="0" fontId="39" fillId="23" borderId="39" xfId="0" applyFont="1" applyFill="1" applyBorder="1" applyAlignment="1">
      <alignment horizontal="left" vertical="top"/>
    </xf>
    <xf numFmtId="0" fontId="39" fillId="24" borderId="39" xfId="0" applyFont="1" applyFill="1" applyBorder="1" applyAlignment="1">
      <alignment horizontal="left" vertical="top"/>
    </xf>
    <xf numFmtId="0" fontId="3" fillId="17" borderId="3" xfId="0" applyFont="1" applyFill="1" applyBorder="1" applyAlignment="1">
      <alignment horizontal="center" vertical="center" wrapText="1"/>
    </xf>
    <xf numFmtId="0" fontId="39" fillId="25" borderId="39" xfId="0" applyFont="1" applyFill="1" applyBorder="1" applyAlignment="1">
      <alignment horizontal="left" vertical="top"/>
    </xf>
    <xf numFmtId="0" fontId="25" fillId="0" borderId="60" xfId="3" applyFont="1" applyBorder="1" applyAlignment="1">
      <alignment horizontal="center" vertical="center" wrapText="1"/>
    </xf>
    <xf numFmtId="0" fontId="25" fillId="0" borderId="68" xfId="3" applyFont="1" applyBorder="1" applyAlignment="1">
      <alignment horizontal="center" vertical="center" wrapText="1"/>
    </xf>
    <xf numFmtId="0" fontId="25" fillId="0" borderId="39" xfId="3" applyFont="1" applyBorder="1" applyAlignment="1">
      <alignment horizontal="center" vertical="center" wrapText="1"/>
    </xf>
    <xf numFmtId="0" fontId="25" fillId="11" borderId="39" xfId="3" applyFont="1" applyFill="1" applyBorder="1" applyAlignment="1">
      <alignment horizontal="center" vertical="center" wrapText="1"/>
    </xf>
    <xf numFmtId="0" fontId="25" fillId="11" borderId="68" xfId="3" applyFont="1" applyFill="1" applyBorder="1" applyAlignment="1">
      <alignment horizontal="center" vertical="center" wrapText="1"/>
    </xf>
    <xf numFmtId="0" fontId="25" fillId="11" borderId="55" xfId="3" applyFont="1" applyFill="1" applyBorder="1" applyAlignment="1">
      <alignment horizontal="center" vertical="center" wrapText="1"/>
    </xf>
    <xf numFmtId="0" fontId="26" fillId="0" borderId="0" xfId="3" applyFont="1" applyAlignment="1" applyProtection="1">
      <alignment horizontal="center" vertical="center"/>
      <protection locked="0"/>
    </xf>
    <xf numFmtId="0" fontId="27" fillId="0" borderId="0" xfId="3" applyFont="1" applyAlignment="1" applyProtection="1">
      <alignment horizontal="center" vertical="center"/>
      <protection locked="0"/>
    </xf>
    <xf numFmtId="189" fontId="26" fillId="0" borderId="0" xfId="3" applyNumberFormat="1" applyFont="1" applyAlignment="1" applyProtection="1">
      <alignment horizontal="center" vertical="center"/>
      <protection locked="0"/>
    </xf>
    <xf numFmtId="6" fontId="26" fillId="0" borderId="0" xfId="3" applyNumberFormat="1" applyFont="1" applyAlignment="1" applyProtection="1">
      <alignment horizontal="center" vertical="center"/>
      <protection locked="0"/>
    </xf>
    <xf numFmtId="0" fontId="26" fillId="26" borderId="57" xfId="3" applyFont="1" applyFill="1" applyBorder="1" applyAlignment="1">
      <alignment horizontal="center" vertical="center"/>
    </xf>
    <xf numFmtId="0" fontId="26" fillId="26" borderId="58" xfId="3" applyFont="1" applyFill="1" applyBorder="1" applyAlignment="1">
      <alignment horizontal="center" vertical="center"/>
    </xf>
    <xf numFmtId="0" fontId="26" fillId="26" borderId="59" xfId="3" applyFont="1" applyFill="1" applyBorder="1" applyAlignment="1">
      <alignment horizontal="center" vertical="center"/>
    </xf>
    <xf numFmtId="0" fontId="26" fillId="26" borderId="64" xfId="3" applyFont="1" applyFill="1" applyBorder="1" applyAlignment="1">
      <alignment horizontal="center" vertical="center"/>
    </xf>
    <xf numFmtId="0" fontId="26" fillId="15" borderId="57" xfId="3" applyFont="1" applyFill="1" applyBorder="1" applyAlignment="1">
      <alignment horizontal="center" vertical="center"/>
    </xf>
    <xf numFmtId="0" fontId="26" fillId="15" borderId="58" xfId="3" applyFont="1" applyFill="1" applyBorder="1" applyAlignment="1">
      <alignment horizontal="center" vertical="center"/>
    </xf>
    <xf numFmtId="0" fontId="26" fillId="15" borderId="59" xfId="3" applyFont="1" applyFill="1" applyBorder="1" applyAlignment="1">
      <alignment horizontal="center" vertical="center"/>
    </xf>
    <xf numFmtId="0" fontId="31" fillId="0" borderId="0" xfId="3" applyFont="1" applyAlignment="1">
      <alignment horizontal="center" vertical="center"/>
    </xf>
    <xf numFmtId="189" fontId="26" fillId="21" borderId="39" xfId="3" applyNumberFormat="1" applyFont="1" applyFill="1" applyBorder="1" applyAlignment="1">
      <alignment horizontal="center" vertical="center"/>
    </xf>
    <xf numFmtId="6" fontId="26" fillId="21" borderId="39" xfId="3" applyNumberFormat="1" applyFont="1" applyFill="1" applyBorder="1" applyAlignment="1">
      <alignment horizontal="center" vertical="center"/>
    </xf>
    <xf numFmtId="0" fontId="26" fillId="21" borderId="63" xfId="3" applyFont="1" applyFill="1" applyBorder="1" applyAlignment="1">
      <alignment horizontal="center" vertical="center"/>
    </xf>
    <xf numFmtId="0" fontId="25" fillId="4" borderId="0" xfId="3" applyFont="1" applyFill="1" applyAlignment="1">
      <alignment horizontal="centerContinuous" vertical="center" wrapText="1"/>
    </xf>
    <xf numFmtId="0" fontId="26" fillId="4" borderId="0" xfId="3" applyFont="1" applyFill="1" applyAlignment="1">
      <alignment horizontal="centerContinuous" vertical="center" wrapText="1"/>
    </xf>
    <xf numFmtId="0" fontId="27" fillId="4" borderId="0" xfId="3" applyFont="1" applyFill="1" applyAlignment="1">
      <alignment horizontal="centerContinuous" vertical="center" wrapText="1"/>
    </xf>
    <xf numFmtId="0" fontId="41" fillId="4" borderId="0" xfId="3" applyFont="1" applyFill="1" applyAlignment="1">
      <alignment horizontal="centerContinuous" vertical="center" wrapText="1"/>
    </xf>
    <xf numFmtId="189" fontId="26" fillId="28" borderId="52" xfId="3" applyNumberFormat="1" applyFont="1" applyFill="1" applyBorder="1" applyAlignment="1" applyProtection="1">
      <alignment horizontal="center" vertical="center"/>
      <protection locked="0"/>
    </xf>
    <xf numFmtId="6" fontId="26" fillId="28" borderId="52" xfId="3" applyNumberFormat="1" applyFont="1" applyFill="1" applyBorder="1" applyAlignment="1" applyProtection="1">
      <alignment horizontal="center" vertical="center"/>
      <protection locked="0"/>
    </xf>
    <xf numFmtId="6" fontId="26" fillId="28" borderId="39" xfId="3" applyNumberFormat="1" applyFont="1" applyFill="1" applyBorder="1" applyAlignment="1" applyProtection="1">
      <alignment horizontal="center" vertical="center"/>
      <protection locked="0"/>
    </xf>
    <xf numFmtId="194" fontId="26" fillId="28" borderId="61" xfId="3" applyNumberFormat="1" applyFont="1" applyFill="1" applyBorder="1" applyAlignment="1" applyProtection="1">
      <alignment horizontal="center" vertical="center"/>
      <protection locked="0"/>
    </xf>
    <xf numFmtId="0" fontId="27" fillId="28" borderId="52" xfId="3" applyFont="1" applyFill="1" applyBorder="1" applyAlignment="1" applyProtection="1">
      <alignment horizontal="center" vertical="center"/>
      <protection locked="0"/>
    </xf>
    <xf numFmtId="194" fontId="26" fillId="28" borderId="63" xfId="3" applyNumberFormat="1" applyFont="1" applyFill="1" applyBorder="1" applyAlignment="1" applyProtection="1">
      <alignment horizontal="center" vertical="center"/>
      <protection locked="0"/>
    </xf>
    <xf numFmtId="0" fontId="27" fillId="28" borderId="53" xfId="3" applyFont="1" applyFill="1" applyBorder="1" applyAlignment="1" applyProtection="1">
      <alignment horizontal="center" vertical="center"/>
      <protection locked="0"/>
    </xf>
    <xf numFmtId="0" fontId="25" fillId="20" borderId="68" xfId="3" applyFont="1" applyFill="1" applyBorder="1" applyAlignment="1">
      <alignment horizontal="center" vertical="center" wrapText="1"/>
    </xf>
    <xf numFmtId="0" fontId="25" fillId="20" borderId="39" xfId="3" applyFont="1" applyFill="1" applyBorder="1" applyAlignment="1">
      <alignment horizontal="center" vertical="center" wrapText="1"/>
    </xf>
    <xf numFmtId="0" fontId="27" fillId="6" borderId="39" xfId="3" applyFont="1" applyFill="1" applyBorder="1" applyAlignment="1">
      <alignment horizontal="center" vertical="center"/>
    </xf>
    <xf numFmtId="0" fontId="27" fillId="28" borderId="39" xfId="3" applyFont="1" applyFill="1" applyBorder="1" applyAlignment="1" applyProtection="1">
      <alignment horizontal="center" vertical="center"/>
      <protection locked="0"/>
    </xf>
    <xf numFmtId="0" fontId="27" fillId="15" borderId="39" xfId="3" applyFont="1" applyFill="1" applyBorder="1" applyAlignment="1">
      <alignment horizontal="center" vertical="center"/>
    </xf>
    <xf numFmtId="189" fontId="26" fillId="0" borderId="16" xfId="3" applyNumberFormat="1" applyFont="1" applyBorder="1" applyAlignment="1" applyProtection="1">
      <alignment horizontal="center" vertical="center"/>
      <protection locked="0"/>
    </xf>
    <xf numFmtId="189" fontId="26" fillId="0" borderId="21" xfId="3" applyNumberFormat="1" applyFont="1" applyBorder="1" applyAlignment="1" applyProtection="1">
      <alignment horizontal="center" vertical="center"/>
      <protection locked="0"/>
    </xf>
    <xf numFmtId="6" fontId="26" fillId="0" borderId="16" xfId="3" applyNumberFormat="1" applyFont="1" applyBorder="1" applyAlignment="1" applyProtection="1">
      <alignment horizontal="center" vertical="center"/>
      <protection locked="0"/>
    </xf>
    <xf numFmtId="6" fontId="26" fillId="0" borderId="21" xfId="3" applyNumberFormat="1" applyFont="1" applyBorder="1" applyAlignment="1" applyProtection="1">
      <alignment horizontal="center" vertical="center"/>
      <protection locked="0"/>
    </xf>
    <xf numFmtId="6" fontId="26" fillId="28" borderId="60" xfId="3" applyNumberFormat="1" applyFont="1" applyFill="1" applyBorder="1" applyAlignment="1" applyProtection="1">
      <alignment horizontal="center" vertical="center"/>
      <protection locked="0"/>
    </xf>
    <xf numFmtId="0" fontId="28" fillId="31" borderId="51" xfId="3" applyFont="1" applyFill="1" applyBorder="1" applyAlignment="1">
      <alignment horizontal="center" vertical="center" wrapText="1"/>
    </xf>
    <xf numFmtId="0" fontId="43" fillId="0" borderId="0" xfId="3" applyFont="1" applyAlignment="1">
      <alignment horizontal="center" vertical="center"/>
    </xf>
    <xf numFmtId="0" fontId="29" fillId="32" borderId="52" xfId="6" applyNumberFormat="1" applyFont="1" applyFill="1" applyBorder="1" applyAlignment="1" applyProtection="1">
      <alignment horizontal="center" vertical="center"/>
      <protection locked="0"/>
    </xf>
    <xf numFmtId="3" fontId="4" fillId="28" borderId="3" xfId="0" applyNumberFormat="1" applyFont="1" applyFill="1" applyBorder="1" applyAlignment="1">
      <alignment horizontal="center" vertical="center" shrinkToFit="1"/>
    </xf>
    <xf numFmtId="180" fontId="3" fillId="28" borderId="3" xfId="0" applyNumberFormat="1" applyFont="1" applyFill="1" applyBorder="1" applyAlignment="1">
      <alignment horizontal="center" vertical="center" wrapText="1"/>
    </xf>
    <xf numFmtId="181" fontId="3" fillId="28" borderId="4" xfId="0" applyNumberFormat="1" applyFont="1" applyFill="1" applyBorder="1" applyAlignment="1">
      <alignment horizontal="center" vertical="center" wrapText="1"/>
    </xf>
    <xf numFmtId="0" fontId="2" fillId="28" borderId="4" xfId="0" applyFont="1" applyFill="1" applyBorder="1" applyAlignment="1">
      <alignment horizontal="center" vertical="center"/>
    </xf>
    <xf numFmtId="0" fontId="45" fillId="34" borderId="0" xfId="0" applyFont="1" applyFill="1" applyAlignment="1">
      <alignment vertical="top" wrapText="1"/>
    </xf>
    <xf numFmtId="180" fontId="3" fillId="0" borderId="77" xfId="0" applyNumberFormat="1" applyFont="1" applyBorder="1" applyAlignment="1">
      <alignment horizontal="center" vertical="center" wrapText="1"/>
    </xf>
    <xf numFmtId="181" fontId="3" fillId="0" borderId="78" xfId="0" applyNumberFormat="1" applyFont="1" applyBorder="1" applyAlignment="1">
      <alignment horizontal="center" vertical="center" wrapText="1"/>
    </xf>
    <xf numFmtId="180" fontId="3" fillId="28" borderId="77" xfId="0" applyNumberFormat="1" applyFont="1" applyFill="1" applyBorder="1" applyAlignment="1">
      <alignment horizontal="center" vertical="center" wrapText="1"/>
    </xf>
    <xf numFmtId="181" fontId="3" fillId="28" borderId="78" xfId="0" applyNumberFormat="1" applyFont="1" applyFill="1" applyBorder="1" applyAlignment="1">
      <alignment horizontal="center" vertical="center" wrapText="1"/>
    </xf>
    <xf numFmtId="180" fontId="3" fillId="28" borderId="79" xfId="0" applyNumberFormat="1" applyFont="1" applyFill="1" applyBorder="1" applyAlignment="1">
      <alignment horizontal="center" vertical="center" wrapText="1"/>
    </xf>
    <xf numFmtId="180" fontId="3" fillId="28" borderId="85" xfId="0" applyNumberFormat="1" applyFont="1" applyFill="1" applyBorder="1" applyAlignment="1">
      <alignment horizontal="center" vertical="center" wrapText="1"/>
    </xf>
    <xf numFmtId="181" fontId="3" fillId="28" borderId="80" xfId="0" applyNumberFormat="1" applyFont="1" applyFill="1" applyBorder="1" applyAlignment="1">
      <alignment horizontal="center" vertical="center" wrapText="1"/>
    </xf>
    <xf numFmtId="180" fontId="3" fillId="28" borderId="87" xfId="0" applyNumberFormat="1" applyFont="1" applyFill="1" applyBorder="1" applyAlignment="1">
      <alignment horizontal="center" vertical="center" wrapText="1"/>
    </xf>
    <xf numFmtId="180" fontId="3" fillId="28" borderId="88" xfId="0" applyNumberFormat="1" applyFont="1" applyFill="1" applyBorder="1" applyAlignment="1">
      <alignment horizontal="center" vertical="center" wrapText="1"/>
    </xf>
    <xf numFmtId="181" fontId="3" fillId="28" borderId="89" xfId="0" applyNumberFormat="1" applyFont="1" applyFill="1" applyBorder="1" applyAlignment="1">
      <alignment horizontal="center" vertical="center" wrapText="1"/>
    </xf>
    <xf numFmtId="183" fontId="3" fillId="28" borderId="3" xfId="0" applyNumberFormat="1" applyFont="1" applyFill="1" applyBorder="1" applyAlignment="1">
      <alignment horizontal="center" vertical="center" wrapText="1"/>
    </xf>
    <xf numFmtId="184" fontId="3" fillId="28" borderId="3" xfId="0" applyNumberFormat="1" applyFont="1" applyFill="1" applyBorder="1" applyAlignment="1">
      <alignment horizontal="center" vertical="center" wrapText="1"/>
    </xf>
    <xf numFmtId="183" fontId="3" fillId="0" borderId="77" xfId="0" applyNumberFormat="1" applyFont="1" applyBorder="1" applyAlignment="1">
      <alignment horizontal="center" vertical="center" wrapText="1"/>
    </xf>
    <xf numFmtId="184" fontId="3" fillId="28" borderId="78" xfId="0" applyNumberFormat="1" applyFont="1" applyFill="1" applyBorder="1" applyAlignment="1">
      <alignment horizontal="center" vertical="center" wrapText="1"/>
    </xf>
    <xf numFmtId="183" fontId="3" fillId="28" borderId="77" xfId="0" applyNumberFormat="1" applyFont="1" applyFill="1" applyBorder="1" applyAlignment="1">
      <alignment horizontal="center" vertical="center" wrapText="1"/>
    </xf>
    <xf numFmtId="184" fontId="3" fillId="0" borderId="78" xfId="0" applyNumberFormat="1" applyFont="1" applyBorder="1" applyAlignment="1">
      <alignment horizontal="center" vertical="center" wrapText="1"/>
    </xf>
    <xf numFmtId="183" fontId="3" fillId="28" borderId="79" xfId="0" applyNumberFormat="1" applyFont="1" applyFill="1" applyBorder="1" applyAlignment="1">
      <alignment horizontal="center" vertical="center" wrapText="1"/>
    </xf>
    <xf numFmtId="183" fontId="3" fillId="28" borderId="85" xfId="0" applyNumberFormat="1" applyFont="1" applyFill="1" applyBorder="1" applyAlignment="1">
      <alignment horizontal="center" vertical="center" wrapText="1"/>
    </xf>
    <xf numFmtId="184" fontId="3" fillId="28" borderId="85" xfId="0" applyNumberFormat="1" applyFont="1" applyFill="1" applyBorder="1" applyAlignment="1">
      <alignment horizontal="center" vertical="center" wrapText="1"/>
    </xf>
    <xf numFmtId="184" fontId="3" fillId="28" borderId="80" xfId="0" applyNumberFormat="1" applyFont="1" applyFill="1" applyBorder="1" applyAlignment="1">
      <alignment horizontal="center" vertical="center" wrapText="1"/>
    </xf>
    <xf numFmtId="181" fontId="3" fillId="28" borderId="86" xfId="0" applyNumberFormat="1" applyFont="1" applyFill="1" applyBorder="1" applyAlignment="1">
      <alignment horizontal="center" vertical="center" wrapText="1"/>
    </xf>
    <xf numFmtId="0" fontId="44" fillId="3" borderId="6" xfId="0" applyFont="1" applyFill="1" applyBorder="1" applyAlignment="1">
      <alignment horizontal="left" vertical="top"/>
    </xf>
    <xf numFmtId="0" fontId="46" fillId="3" borderId="7" xfId="0" applyFont="1" applyFill="1" applyBorder="1" applyAlignment="1">
      <alignment horizontal="left" vertical="top"/>
    </xf>
    <xf numFmtId="0" fontId="44" fillId="0" borderId="7" xfId="0" applyFont="1" applyBorder="1" applyAlignment="1">
      <alignment horizontal="left" vertical="top"/>
    </xf>
    <xf numFmtId="0" fontId="46" fillId="0" borderId="7" xfId="0" applyFont="1" applyBorder="1" applyAlignment="1">
      <alignment horizontal="left" vertical="top"/>
    </xf>
    <xf numFmtId="0" fontId="46" fillId="0" borderId="8" xfId="0" applyFont="1" applyBorder="1" applyAlignment="1">
      <alignment horizontal="left" vertical="top"/>
    </xf>
    <xf numFmtId="180" fontId="47" fillId="0" borderId="3" xfId="0" applyNumberFormat="1" applyFont="1" applyBorder="1" applyAlignment="1">
      <alignment horizontal="center" vertical="center" wrapText="1"/>
    </xf>
    <xf numFmtId="181" fontId="47" fillId="0" borderId="4" xfId="0" applyNumberFormat="1" applyFont="1" applyBorder="1" applyAlignment="1">
      <alignment horizontal="center" vertical="center" wrapText="1"/>
    </xf>
    <xf numFmtId="180" fontId="47" fillId="28" borderId="3" xfId="0" applyNumberFormat="1" applyFont="1" applyFill="1" applyBorder="1" applyAlignment="1">
      <alignment horizontal="center" vertical="center" wrapText="1"/>
    </xf>
    <xf numFmtId="181" fontId="47" fillId="28" borderId="4" xfId="0" applyNumberFormat="1" applyFont="1" applyFill="1" applyBorder="1" applyAlignment="1">
      <alignment horizontal="center" vertical="center" wrapText="1"/>
    </xf>
    <xf numFmtId="183" fontId="47" fillId="0" borderId="77" xfId="0" applyNumberFormat="1" applyFont="1" applyBorder="1" applyAlignment="1">
      <alignment horizontal="center" vertical="center" wrapText="1"/>
    </xf>
    <xf numFmtId="183" fontId="47" fillId="0" borderId="3" xfId="0" applyNumberFormat="1" applyFont="1" applyBorder="1" applyAlignment="1">
      <alignment horizontal="center" vertical="center" wrapText="1"/>
    </xf>
    <xf numFmtId="184" fontId="47" fillId="0" borderId="3" xfId="0" applyNumberFormat="1" applyFont="1" applyBorder="1" applyAlignment="1">
      <alignment horizontal="center" vertical="center" wrapText="1"/>
    </xf>
    <xf numFmtId="183" fontId="47" fillId="28" borderId="3" xfId="0" applyNumberFormat="1" applyFont="1" applyFill="1" applyBorder="1" applyAlignment="1">
      <alignment horizontal="center" vertical="center" wrapText="1"/>
    </xf>
    <xf numFmtId="184" fontId="47" fillId="28" borderId="78" xfId="0" applyNumberFormat="1" applyFont="1" applyFill="1" applyBorder="1" applyAlignment="1">
      <alignment horizontal="center" vertical="center" wrapText="1"/>
    </xf>
    <xf numFmtId="180" fontId="47" fillId="0" borderId="77" xfId="0" applyNumberFormat="1" applyFont="1" applyBorder="1" applyAlignment="1">
      <alignment horizontal="center" vertical="center" wrapText="1"/>
    </xf>
    <xf numFmtId="181" fontId="47" fillId="28" borderId="78" xfId="0" applyNumberFormat="1" applyFont="1" applyFill="1" applyBorder="1" applyAlignment="1">
      <alignment horizontal="center" vertical="center" wrapText="1"/>
    </xf>
    <xf numFmtId="183" fontId="47" fillId="28" borderId="77" xfId="0" applyNumberFormat="1" applyFont="1" applyFill="1" applyBorder="1" applyAlignment="1">
      <alignment horizontal="center" vertical="center" wrapText="1"/>
    </xf>
    <xf numFmtId="184" fontId="47" fillId="28" borderId="3" xfId="0" applyNumberFormat="1" applyFont="1" applyFill="1" applyBorder="1" applyAlignment="1">
      <alignment horizontal="center" vertical="center" wrapText="1"/>
    </xf>
    <xf numFmtId="180" fontId="47" fillId="28" borderId="77" xfId="0" applyNumberFormat="1" applyFont="1" applyFill="1" applyBorder="1" applyAlignment="1">
      <alignment horizontal="center" vertical="center" wrapText="1"/>
    </xf>
    <xf numFmtId="184" fontId="47" fillId="0" borderId="78" xfId="0" applyNumberFormat="1" applyFont="1" applyBorder="1" applyAlignment="1">
      <alignment horizontal="center" vertical="center" wrapText="1"/>
    </xf>
    <xf numFmtId="181" fontId="47" fillId="0" borderId="78" xfId="0" applyNumberFormat="1" applyFont="1" applyBorder="1" applyAlignment="1">
      <alignment horizontal="center" vertical="center" wrapText="1"/>
    </xf>
    <xf numFmtId="180" fontId="6" fillId="0" borderId="3" xfId="0" applyNumberFormat="1" applyFont="1" applyBorder="1" applyAlignment="1">
      <alignment horizontal="center" vertical="center" wrapText="1"/>
    </xf>
    <xf numFmtId="181" fontId="6" fillId="0" borderId="4" xfId="0" applyNumberFormat="1" applyFont="1" applyBorder="1" applyAlignment="1">
      <alignment horizontal="center" vertical="center" wrapText="1"/>
    </xf>
    <xf numFmtId="183" fontId="47" fillId="28" borderId="79" xfId="0" applyNumberFormat="1" applyFont="1" applyFill="1" applyBorder="1" applyAlignment="1">
      <alignment horizontal="center" vertical="center" wrapText="1"/>
    </xf>
    <xf numFmtId="183" fontId="47" fillId="28" borderId="85" xfId="0" applyNumberFormat="1" applyFont="1" applyFill="1" applyBorder="1" applyAlignment="1">
      <alignment horizontal="center" vertical="center" wrapText="1"/>
    </xf>
    <xf numFmtId="184" fontId="47" fillId="28" borderId="85" xfId="0" applyNumberFormat="1" applyFont="1" applyFill="1" applyBorder="1" applyAlignment="1">
      <alignment horizontal="center" vertical="center" wrapText="1"/>
    </xf>
    <xf numFmtId="184" fontId="47" fillId="28" borderId="80" xfId="0" applyNumberFormat="1" applyFont="1" applyFill="1" applyBorder="1" applyAlignment="1">
      <alignment horizontal="center" vertical="center" wrapText="1"/>
    </xf>
    <xf numFmtId="180" fontId="47" fillId="28" borderId="79" xfId="0" applyNumberFormat="1" applyFont="1" applyFill="1" applyBorder="1" applyAlignment="1">
      <alignment horizontal="center" vertical="center" wrapText="1"/>
    </xf>
    <xf numFmtId="180" fontId="47" fillId="28" borderId="85" xfId="0" applyNumberFormat="1" applyFont="1" applyFill="1" applyBorder="1" applyAlignment="1">
      <alignment horizontal="center" vertical="center" wrapText="1"/>
    </xf>
    <xf numFmtId="181" fontId="47" fillId="28" borderId="86" xfId="0" applyNumberFormat="1" applyFont="1" applyFill="1" applyBorder="1" applyAlignment="1">
      <alignment horizontal="center" vertical="center" wrapText="1"/>
    </xf>
    <xf numFmtId="181" fontId="47" fillId="28" borderId="80" xfId="0" applyNumberFormat="1" applyFont="1" applyFill="1" applyBorder="1" applyAlignment="1">
      <alignment horizontal="center" vertical="center" wrapText="1"/>
    </xf>
    <xf numFmtId="182" fontId="47" fillId="0" borderId="4" xfId="0" applyNumberFormat="1" applyFont="1" applyBorder="1" applyAlignment="1">
      <alignment horizontal="right" vertical="center" wrapText="1"/>
    </xf>
    <xf numFmtId="179" fontId="2" fillId="0" borderId="77" xfId="0" applyNumberFormat="1" applyFont="1" applyBorder="1" applyAlignment="1">
      <alignment horizontal="center" vertical="center" shrinkToFit="1"/>
    </xf>
    <xf numFmtId="3" fontId="2" fillId="0" borderId="78" xfId="0" applyNumberFormat="1" applyFont="1" applyBorder="1" applyAlignment="1">
      <alignment horizontal="center" vertical="center" shrinkToFit="1"/>
    </xf>
    <xf numFmtId="3" fontId="2" fillId="0" borderId="82" xfId="0" applyNumberFormat="1" applyFont="1" applyBorder="1" applyAlignment="1">
      <alignment horizontal="center" vertical="center" shrinkToFit="1"/>
    </xf>
    <xf numFmtId="180" fontId="2" fillId="0" borderId="3" xfId="0" applyNumberFormat="1" applyFont="1" applyBorder="1" applyAlignment="1">
      <alignment horizontal="center" vertical="center" wrapText="1"/>
    </xf>
    <xf numFmtId="179" fontId="2" fillId="28" borderId="77" xfId="0" applyNumberFormat="1" applyFont="1" applyFill="1" applyBorder="1" applyAlignment="1">
      <alignment horizontal="center" vertical="center" shrinkToFit="1"/>
    </xf>
    <xf numFmtId="3" fontId="2" fillId="28" borderId="78" xfId="0" applyNumberFormat="1" applyFont="1" applyFill="1" applyBorder="1" applyAlignment="1">
      <alignment horizontal="center" vertical="center" shrinkToFit="1"/>
    </xf>
    <xf numFmtId="3" fontId="2" fillId="28" borderId="82" xfId="0" applyNumberFormat="1" applyFont="1" applyFill="1" applyBorder="1" applyAlignment="1">
      <alignment horizontal="center" vertical="center" shrinkToFit="1"/>
    </xf>
    <xf numFmtId="180" fontId="47" fillId="3" borderId="3" xfId="0" applyNumberFormat="1" applyFont="1" applyFill="1" applyBorder="1" applyAlignment="1">
      <alignment horizontal="center" vertical="center" wrapText="1"/>
    </xf>
    <xf numFmtId="179" fontId="2" fillId="0" borderId="79" xfId="0" applyNumberFormat="1" applyFont="1" applyBorder="1" applyAlignment="1">
      <alignment horizontal="center" vertical="center" shrinkToFit="1"/>
    </xf>
    <xf numFmtId="3" fontId="2" fillId="0" borderId="80" xfId="0" applyNumberFormat="1" applyFont="1" applyBorder="1" applyAlignment="1">
      <alignment horizontal="center" vertical="center" shrinkToFit="1"/>
    </xf>
    <xf numFmtId="3" fontId="2" fillId="0" borderId="83" xfId="0" applyNumberFormat="1" applyFont="1" applyBorder="1" applyAlignment="1">
      <alignment horizontal="center" vertical="center" shrinkToFit="1"/>
    </xf>
    <xf numFmtId="180" fontId="47" fillId="0" borderId="79" xfId="0" applyNumberFormat="1" applyFont="1" applyBorder="1" applyAlignment="1">
      <alignment horizontal="center" vertical="center" wrapText="1"/>
    </xf>
    <xf numFmtId="180" fontId="47" fillId="0" borderId="85" xfId="0" applyNumberFormat="1" applyFont="1" applyBorder="1" applyAlignment="1">
      <alignment horizontal="center" vertical="center" wrapText="1"/>
    </xf>
    <xf numFmtId="181" fontId="47" fillId="0" borderId="86" xfId="0" applyNumberFormat="1" applyFont="1" applyBorder="1" applyAlignment="1">
      <alignment horizontal="center" vertical="center" wrapText="1"/>
    </xf>
    <xf numFmtId="181" fontId="47" fillId="0" borderId="80" xfId="0" applyNumberFormat="1" applyFont="1" applyBorder="1" applyAlignment="1">
      <alignment horizontal="center" vertical="center" wrapText="1"/>
    </xf>
    <xf numFmtId="0" fontId="48" fillId="28" borderId="4" xfId="0" applyFont="1" applyFill="1" applyBorder="1" applyAlignment="1">
      <alignment horizontal="center" vertical="center" wrapText="1"/>
    </xf>
    <xf numFmtId="179" fontId="4" fillId="28" borderId="1" xfId="0" applyNumberFormat="1" applyFont="1" applyFill="1" applyBorder="1" applyAlignment="1">
      <alignment horizontal="center" vertical="center" shrinkToFit="1"/>
    </xf>
    <xf numFmtId="1" fontId="4" fillId="0" borderId="5" xfId="0" applyNumberFormat="1" applyFont="1" applyBorder="1" applyAlignment="1">
      <alignment horizontal="center" vertical="center" shrinkToFit="1"/>
    </xf>
    <xf numFmtId="0" fontId="3" fillId="2" borderId="91" xfId="0" applyFont="1" applyFill="1" applyBorder="1" applyAlignment="1">
      <alignment horizontal="center" vertical="center" wrapText="1"/>
    </xf>
    <xf numFmtId="182" fontId="47" fillId="0" borderId="92" xfId="0" applyNumberFormat="1" applyFont="1" applyBorder="1" applyAlignment="1">
      <alignment horizontal="right" vertical="center" wrapText="1"/>
    </xf>
    <xf numFmtId="0" fontId="2" fillId="28" borderId="92" xfId="0" applyFont="1" applyFill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40" fillId="28" borderId="39" xfId="0" applyFont="1" applyFill="1" applyBorder="1" applyAlignment="1">
      <alignment vertical="center"/>
    </xf>
    <xf numFmtId="0" fontId="2" fillId="28" borderId="39" xfId="0" applyFont="1" applyFill="1" applyBorder="1" applyAlignment="1">
      <alignment horizontal="left" vertical="center"/>
    </xf>
    <xf numFmtId="0" fontId="44" fillId="0" borderId="0" xfId="0" applyFont="1" applyAlignment="1">
      <alignment horizontal="left" vertical="top" wrapText="1"/>
    </xf>
    <xf numFmtId="0" fontId="46" fillId="0" borderId="0" xfId="0" applyFont="1" applyAlignment="1">
      <alignment horizontal="left" vertical="top"/>
    </xf>
    <xf numFmtId="0" fontId="46" fillId="0" borderId="0" xfId="0" applyFont="1" applyAlignment="1">
      <alignment horizontal="center" vertical="top"/>
    </xf>
    <xf numFmtId="0" fontId="49" fillId="36" borderId="81" xfId="0" applyFont="1" applyFill="1" applyBorder="1" applyAlignment="1">
      <alignment horizontal="center" vertical="center" wrapText="1"/>
    </xf>
    <xf numFmtId="0" fontId="27" fillId="19" borderId="55" xfId="6" applyNumberFormat="1" applyFont="1" applyFill="1" applyBorder="1" applyAlignment="1">
      <alignment horizontal="left" vertical="center"/>
    </xf>
    <xf numFmtId="0" fontId="28" fillId="38" borderId="56" xfId="6" applyNumberFormat="1" applyFont="1" applyFill="1" applyBorder="1" applyAlignment="1">
      <alignment horizontal="center" vertical="center"/>
    </xf>
    <xf numFmtId="0" fontId="25" fillId="11" borderId="94" xfId="3" applyFont="1" applyFill="1" applyBorder="1" applyAlignment="1">
      <alignment horizontal="center" vertical="center" wrapText="1"/>
    </xf>
    <xf numFmtId="0" fontId="25" fillId="11" borderId="95" xfId="3" applyFont="1" applyFill="1" applyBorder="1" applyAlignment="1">
      <alignment horizontal="center" vertical="center" wrapText="1"/>
    </xf>
    <xf numFmtId="6" fontId="26" fillId="28" borderId="96" xfId="3" applyNumberFormat="1" applyFont="1" applyFill="1" applyBorder="1" applyAlignment="1" applyProtection="1">
      <alignment horizontal="center" vertical="center"/>
      <protection locked="0"/>
    </xf>
    <xf numFmtId="6" fontId="26" fillId="28" borderId="97" xfId="3" applyNumberFormat="1" applyFont="1" applyFill="1" applyBorder="1" applyAlignment="1" applyProtection="1">
      <alignment horizontal="center" vertical="center"/>
      <protection locked="0"/>
    </xf>
    <xf numFmtId="196" fontId="47" fillId="0" borderId="4" xfId="0" applyNumberFormat="1" applyFont="1" applyBorder="1" applyAlignment="1">
      <alignment horizontal="right" vertical="center" wrapText="1"/>
    </xf>
    <xf numFmtId="196" fontId="47" fillId="0" borderId="92" xfId="0" applyNumberFormat="1" applyFont="1" applyBorder="1" applyAlignment="1">
      <alignment horizontal="right" vertical="center" wrapText="1"/>
    </xf>
    <xf numFmtId="0" fontId="2" fillId="28" borderId="0" xfId="0" applyFont="1" applyFill="1" applyAlignment="1">
      <alignment horizontal="left" vertical="center"/>
    </xf>
    <xf numFmtId="0" fontId="40" fillId="28" borderId="0" xfId="0" applyFont="1" applyFill="1" applyAlignment="1">
      <alignment horizontal="center" vertical="center"/>
    </xf>
    <xf numFmtId="0" fontId="40" fillId="28" borderId="0" xfId="0" applyFont="1" applyFill="1" applyAlignment="1">
      <alignment vertical="center"/>
    </xf>
    <xf numFmtId="0" fontId="44" fillId="35" borderId="6" xfId="0" applyFont="1" applyFill="1" applyBorder="1" applyAlignment="1">
      <alignment horizontal="left" vertical="top"/>
    </xf>
    <xf numFmtId="0" fontId="46" fillId="35" borderId="7" xfId="0" applyFont="1" applyFill="1" applyBorder="1" applyAlignment="1">
      <alignment horizontal="left" vertical="top"/>
    </xf>
    <xf numFmtId="0" fontId="50" fillId="35" borderId="7" xfId="0" applyFont="1" applyFill="1" applyBorder="1" applyAlignment="1">
      <alignment horizontal="left" vertical="top"/>
    </xf>
    <xf numFmtId="0" fontId="30" fillId="0" borderId="0" xfId="3" applyFont="1" applyAlignment="1">
      <alignment horizontal="center" vertical="center"/>
    </xf>
    <xf numFmtId="0" fontId="25" fillId="0" borderId="15" xfId="3" applyFont="1" applyBorder="1">
      <alignment vertical="center"/>
    </xf>
    <xf numFmtId="0" fontId="25" fillId="0" borderId="23" xfId="3" applyFont="1" applyBorder="1">
      <alignment vertical="center"/>
    </xf>
    <xf numFmtId="0" fontId="27" fillId="19" borderId="98" xfId="6" applyNumberFormat="1" applyFont="1" applyFill="1" applyBorder="1" applyAlignment="1">
      <alignment horizontal="left" vertical="center"/>
    </xf>
    <xf numFmtId="0" fontId="27" fillId="0" borderId="99" xfId="3" applyFont="1" applyBorder="1" applyAlignment="1">
      <alignment horizontal="left" vertical="center"/>
    </xf>
    <xf numFmtId="0" fontId="27" fillId="19" borderId="102" xfId="6" applyNumberFormat="1" applyFont="1" applyFill="1" applyBorder="1" applyAlignment="1">
      <alignment horizontal="left" vertical="center"/>
    </xf>
    <xf numFmtId="0" fontId="27" fillId="0" borderId="103" xfId="3" applyFont="1" applyBorder="1" applyAlignment="1">
      <alignment horizontal="left" vertical="center"/>
    </xf>
    <xf numFmtId="0" fontId="27" fillId="0" borderId="103" xfId="3" applyFont="1" applyBorder="1">
      <alignment vertical="center"/>
    </xf>
    <xf numFmtId="0" fontId="29" fillId="32" borderId="98" xfId="6" applyNumberFormat="1" applyFont="1" applyFill="1" applyBorder="1" applyAlignment="1" applyProtection="1">
      <alignment horizontal="center" vertical="center"/>
      <protection locked="0"/>
    </xf>
    <xf numFmtId="0" fontId="27" fillId="0" borderId="99" xfId="3" applyFont="1" applyBorder="1">
      <alignment vertical="center"/>
    </xf>
    <xf numFmtId="0" fontId="28" fillId="22" borderId="7" xfId="3" applyFont="1" applyFill="1" applyBorder="1" applyAlignment="1">
      <alignment horizontal="center" vertical="center"/>
    </xf>
    <xf numFmtId="0" fontId="29" fillId="32" borderId="102" xfId="6" applyNumberFormat="1" applyFont="1" applyFill="1" applyBorder="1" applyAlignment="1" applyProtection="1">
      <alignment horizontal="center" vertical="center"/>
      <protection locked="0"/>
    </xf>
    <xf numFmtId="0" fontId="28" fillId="22" borderId="10" xfId="3" applyFont="1" applyFill="1" applyBorder="1" applyAlignment="1">
      <alignment horizontal="center" vertical="center"/>
    </xf>
    <xf numFmtId="0" fontId="27" fillId="19" borderId="116" xfId="6" applyNumberFormat="1" applyFont="1" applyFill="1" applyBorder="1" applyAlignment="1">
      <alignment horizontal="left" vertical="center"/>
    </xf>
    <xf numFmtId="0" fontId="27" fillId="0" borderId="117" xfId="3" applyFont="1" applyBorder="1" applyAlignment="1">
      <alignment horizontal="left" vertical="center"/>
    </xf>
    <xf numFmtId="0" fontId="28" fillId="22" borderId="71" xfId="3" applyFont="1" applyFill="1" applyBorder="1" applyAlignment="1">
      <alignment horizontal="center" vertical="center"/>
    </xf>
    <xf numFmtId="0" fontId="27" fillId="19" borderId="100" xfId="6" applyNumberFormat="1" applyFont="1" applyFill="1" applyBorder="1" applyAlignment="1">
      <alignment horizontal="left" vertical="center"/>
    </xf>
    <xf numFmtId="0" fontId="27" fillId="19" borderId="122" xfId="6" applyNumberFormat="1" applyFont="1" applyFill="1" applyBorder="1" applyAlignment="1">
      <alignment horizontal="left" vertical="center"/>
    </xf>
    <xf numFmtId="0" fontId="27" fillId="0" borderId="123" xfId="3" applyFont="1" applyBorder="1" applyAlignment="1">
      <alignment horizontal="left" vertical="center"/>
    </xf>
    <xf numFmtId="188" fontId="29" fillId="32" borderId="122" xfId="6" applyNumberFormat="1" applyFont="1" applyFill="1" applyBorder="1" applyAlignment="1" applyProtection="1">
      <alignment horizontal="center" vertical="center"/>
      <protection locked="0"/>
    </xf>
    <xf numFmtId="0" fontId="28" fillId="38" borderId="113" xfId="6" applyNumberFormat="1" applyFont="1" applyFill="1" applyBorder="1" applyAlignment="1">
      <alignment horizontal="center" vertical="center"/>
    </xf>
    <xf numFmtId="188" fontId="29" fillId="32" borderId="116" xfId="6" applyNumberFormat="1" applyFont="1" applyFill="1" applyBorder="1" applyAlignment="1" applyProtection="1">
      <alignment horizontal="center" vertical="center"/>
      <protection locked="0"/>
    </xf>
    <xf numFmtId="0" fontId="28" fillId="38" borderId="101" xfId="6" applyNumberFormat="1" applyFont="1" applyFill="1" applyBorder="1" applyAlignment="1">
      <alignment horizontal="center" vertical="center"/>
    </xf>
    <xf numFmtId="0" fontId="28" fillId="38" borderId="122" xfId="6" applyNumberFormat="1" applyFont="1" applyFill="1" applyBorder="1" applyAlignment="1">
      <alignment horizontal="center" vertical="center"/>
    </xf>
    <xf numFmtId="0" fontId="27" fillId="18" borderId="98" xfId="6" applyNumberFormat="1" applyFont="1" applyFill="1" applyBorder="1" applyAlignment="1">
      <alignment horizontal="left" vertical="center"/>
    </xf>
    <xf numFmtId="0" fontId="27" fillId="18" borderId="102" xfId="6" applyNumberFormat="1" applyFont="1" applyFill="1" applyBorder="1" applyAlignment="1">
      <alignment horizontal="left" vertical="center"/>
    </xf>
    <xf numFmtId="0" fontId="27" fillId="21" borderId="18" xfId="3" applyFont="1" applyFill="1" applyBorder="1">
      <alignment vertical="center"/>
    </xf>
    <xf numFmtId="0" fontId="27" fillId="21" borderId="71" xfId="3" applyFont="1" applyFill="1" applyBorder="1">
      <alignment vertical="center"/>
    </xf>
    <xf numFmtId="0" fontId="27" fillId="0" borderId="71" xfId="3" applyFont="1" applyBorder="1" applyAlignment="1">
      <alignment horizontal="left" vertical="center"/>
    </xf>
    <xf numFmtId="0" fontId="27" fillId="0" borderId="71" xfId="3" applyFont="1" applyBorder="1">
      <alignment vertical="center"/>
    </xf>
    <xf numFmtId="0" fontId="44" fillId="3" borderId="7" xfId="0" applyFont="1" applyFill="1" applyBorder="1" applyAlignment="1">
      <alignment horizontal="left" vertical="top"/>
    </xf>
    <xf numFmtId="183" fontId="47" fillId="0" borderId="1" xfId="0" applyNumberFormat="1" applyFont="1" applyBorder="1" applyAlignment="1">
      <alignment horizontal="center" vertical="center" wrapText="1"/>
    </xf>
    <xf numFmtId="183" fontId="47" fillId="28" borderId="1" xfId="0" applyNumberFormat="1" applyFont="1" applyFill="1" applyBorder="1" applyAlignment="1">
      <alignment horizontal="center" vertical="center" wrapText="1"/>
    </xf>
    <xf numFmtId="183" fontId="47" fillId="28" borderId="90" xfId="0" applyNumberFormat="1" applyFont="1" applyFill="1" applyBorder="1" applyAlignment="1">
      <alignment horizontal="center" vertical="center" wrapText="1"/>
    </xf>
    <xf numFmtId="0" fontId="44" fillId="7" borderId="12" xfId="0" applyFont="1" applyFill="1" applyBorder="1" applyAlignment="1">
      <alignment horizontal="left" vertical="top"/>
    </xf>
    <xf numFmtId="0" fontId="46" fillId="7" borderId="0" xfId="0" applyFont="1" applyFill="1" applyAlignment="1">
      <alignment horizontal="center" vertical="top"/>
    </xf>
    <xf numFmtId="0" fontId="46" fillId="7" borderId="13" xfId="0" applyFont="1" applyFill="1" applyBorder="1" applyAlignment="1">
      <alignment horizontal="center" vertical="top"/>
    </xf>
    <xf numFmtId="0" fontId="3" fillId="17" borderId="1" xfId="0" applyFont="1" applyFill="1" applyBorder="1" applyAlignment="1">
      <alignment horizontal="center" vertical="center" wrapText="1"/>
    </xf>
    <xf numFmtId="0" fontId="3" fillId="17" borderId="77" xfId="0" applyFont="1" applyFill="1" applyBorder="1" applyAlignment="1">
      <alignment horizontal="center" vertical="center" wrapText="1"/>
    </xf>
    <xf numFmtId="0" fontId="3" fillId="17" borderId="78" xfId="0" applyFont="1" applyFill="1" applyBorder="1" applyAlignment="1">
      <alignment horizontal="center" vertical="center" wrapText="1"/>
    </xf>
    <xf numFmtId="0" fontId="3" fillId="17" borderId="82" xfId="0" applyFont="1" applyFill="1" applyBorder="1" applyAlignment="1">
      <alignment horizontal="center" vertical="center" wrapText="1"/>
    </xf>
    <xf numFmtId="0" fontId="4" fillId="17" borderId="3" xfId="0" applyFont="1" applyFill="1" applyBorder="1" applyAlignment="1">
      <alignment horizontal="center" vertical="center" wrapText="1"/>
    </xf>
    <xf numFmtId="0" fontId="3" fillId="17" borderId="4" xfId="0" applyFont="1" applyFill="1" applyBorder="1" applyAlignment="1">
      <alignment horizontal="center" vertical="center" wrapText="1"/>
    </xf>
    <xf numFmtId="0" fontId="5" fillId="17" borderId="3" xfId="0" applyFont="1" applyFill="1" applyBorder="1" applyAlignment="1">
      <alignment horizontal="center" vertical="center" wrapText="1"/>
    </xf>
    <xf numFmtId="9" fontId="4" fillId="17" borderId="4" xfId="0" applyNumberFormat="1" applyFont="1" applyFill="1" applyBorder="1" applyAlignment="1">
      <alignment horizontal="center" vertical="center" wrapText="1"/>
    </xf>
    <xf numFmtId="0" fontId="45" fillId="17" borderId="2" xfId="0" applyFont="1" applyFill="1" applyBorder="1" applyAlignment="1">
      <alignment horizontal="center" vertical="center" wrapText="1"/>
    </xf>
    <xf numFmtId="0" fontId="45" fillId="17" borderId="4" xfId="0" applyFont="1" applyFill="1" applyBorder="1" applyAlignment="1">
      <alignment horizontal="center" vertical="center" wrapText="1"/>
    </xf>
    <xf numFmtId="0" fontId="40" fillId="28" borderId="4" xfId="0" applyFont="1" applyFill="1" applyBorder="1" applyAlignment="1">
      <alignment horizontal="center" vertical="center"/>
    </xf>
    <xf numFmtId="0" fontId="40" fillId="28" borderId="92" xfId="0" applyFont="1" applyFill="1" applyBorder="1" applyAlignment="1">
      <alignment horizontal="center" vertical="center"/>
    </xf>
    <xf numFmtId="186" fontId="26" fillId="28" borderId="39" xfId="3" applyNumberFormat="1" applyFont="1" applyFill="1" applyBorder="1" applyAlignment="1" applyProtection="1">
      <alignment horizontal="center" vertical="center"/>
      <protection locked="0"/>
    </xf>
    <xf numFmtId="0" fontId="26" fillId="28" borderId="39" xfId="3" applyFont="1" applyFill="1" applyBorder="1" applyAlignment="1" applyProtection="1">
      <alignment horizontal="center" vertical="center"/>
      <protection locked="0"/>
    </xf>
    <xf numFmtId="0" fontId="21" fillId="0" borderId="0" xfId="3" applyFont="1">
      <alignment vertical="center"/>
    </xf>
    <xf numFmtId="0" fontId="51" fillId="0" borderId="0" xfId="3" applyFont="1">
      <alignment vertical="center"/>
    </xf>
    <xf numFmtId="0" fontId="31" fillId="0" borderId="0" xfId="7" applyFont="1" applyAlignment="1">
      <alignment vertical="center"/>
    </xf>
    <xf numFmtId="0" fontId="52" fillId="0" borderId="0" xfId="3" applyFont="1" applyAlignment="1" applyProtection="1">
      <alignment vertical="top" wrapText="1"/>
      <protection locked="0"/>
    </xf>
    <xf numFmtId="0" fontId="30" fillId="0" borderId="0" xfId="3" applyFont="1">
      <alignment vertical="center"/>
    </xf>
    <xf numFmtId="0" fontId="53" fillId="0" borderId="0" xfId="0" applyFont="1" applyAlignment="1">
      <alignment vertical="top" wrapText="1"/>
    </xf>
    <xf numFmtId="0" fontId="55" fillId="0" borderId="0" xfId="0" applyFont="1" applyAlignment="1">
      <alignment vertical="top"/>
    </xf>
    <xf numFmtId="0" fontId="31" fillId="28" borderId="52" xfId="3" applyFont="1" applyFill="1" applyBorder="1" applyAlignment="1" applyProtection="1">
      <alignment horizontal="center" vertical="center" wrapText="1"/>
      <protection locked="0"/>
    </xf>
    <xf numFmtId="0" fontId="27" fillId="0" borderId="16" xfId="3" applyFont="1" applyBorder="1" applyAlignment="1" applyProtection="1">
      <alignment horizontal="center" vertical="center"/>
      <protection locked="0"/>
    </xf>
    <xf numFmtId="0" fontId="27" fillId="0" borderId="21" xfId="3" applyFont="1" applyBorder="1" applyAlignment="1" applyProtection="1">
      <alignment horizontal="center" vertical="center"/>
      <protection locked="0"/>
    </xf>
    <xf numFmtId="0" fontId="26" fillId="0" borderId="16" xfId="3" applyFont="1" applyBorder="1" applyAlignment="1" applyProtection="1">
      <alignment horizontal="center" vertical="center"/>
      <protection locked="0"/>
    </xf>
    <xf numFmtId="0" fontId="26" fillId="0" borderId="21" xfId="3" applyFont="1" applyBorder="1" applyAlignment="1" applyProtection="1">
      <alignment horizontal="center" vertical="center"/>
      <protection locked="0"/>
    </xf>
    <xf numFmtId="0" fontId="57" fillId="6" borderId="39" xfId="0" applyFont="1" applyFill="1" applyBorder="1" applyAlignment="1">
      <alignment horizontal="center" vertical="center"/>
    </xf>
    <xf numFmtId="0" fontId="57" fillId="6" borderId="39" xfId="0" applyFont="1" applyFill="1" applyBorder="1" applyAlignment="1">
      <alignment vertical="center"/>
    </xf>
    <xf numFmtId="0" fontId="57" fillId="6" borderId="72" xfId="0" applyFont="1" applyFill="1" applyBorder="1" applyAlignment="1">
      <alignment vertical="center"/>
    </xf>
    <xf numFmtId="0" fontId="57" fillId="6" borderId="49" xfId="0" applyFont="1" applyFill="1" applyBorder="1" applyAlignment="1">
      <alignment vertical="center"/>
    </xf>
    <xf numFmtId="186" fontId="26" fillId="42" borderId="39" xfId="3" applyNumberFormat="1" applyFont="1" applyFill="1" applyBorder="1" applyAlignment="1" applyProtection="1">
      <alignment horizontal="center" vertical="center"/>
      <protection locked="0"/>
    </xf>
    <xf numFmtId="0" fontId="28" fillId="27" borderId="39" xfId="3" applyFont="1" applyFill="1" applyBorder="1" applyAlignment="1">
      <alignment horizontal="center" vertical="center" wrapText="1"/>
    </xf>
    <xf numFmtId="14" fontId="26" fillId="28" borderId="39" xfId="3" applyNumberFormat="1" applyFont="1" applyFill="1" applyBorder="1" applyAlignment="1" applyProtection="1">
      <alignment horizontal="center" vertical="center"/>
      <protection locked="0"/>
    </xf>
    <xf numFmtId="0" fontId="33" fillId="0" borderId="39" xfId="0" applyFont="1" applyBorder="1" applyAlignment="1">
      <alignment horizontal="left" vertical="top" wrapText="1"/>
    </xf>
    <xf numFmtId="0" fontId="43" fillId="41" borderId="39" xfId="3" applyFont="1" applyFill="1" applyBorder="1" applyAlignment="1">
      <alignment horizontal="center" vertical="center"/>
    </xf>
    <xf numFmtId="0" fontId="43" fillId="41" borderId="6" xfId="3" applyFont="1" applyFill="1" applyBorder="1" applyAlignment="1">
      <alignment horizontal="center" vertical="center"/>
    </xf>
    <xf numFmtId="0" fontId="43" fillId="41" borderId="18" xfId="3" applyFont="1" applyFill="1" applyBorder="1" applyAlignment="1">
      <alignment horizontal="center" vertical="center"/>
    </xf>
    <xf numFmtId="0" fontId="54" fillId="0" borderId="0" xfId="0" applyFont="1" applyAlignment="1">
      <alignment vertical="top" wrapText="1"/>
    </xf>
    <xf numFmtId="0" fontId="31" fillId="0" borderId="0" xfId="3" applyFont="1" applyAlignment="1">
      <alignment horizontal="left" vertical="center"/>
    </xf>
    <xf numFmtId="0" fontId="58" fillId="0" borderId="0" xfId="0" applyFont="1" applyAlignment="1">
      <alignment vertical="center" wrapText="1"/>
    </xf>
    <xf numFmtId="0" fontId="62" fillId="0" borderId="0" xfId="0" applyFont="1" applyAlignment="1">
      <alignment vertical="top" wrapText="1"/>
    </xf>
    <xf numFmtId="0" fontId="27" fillId="18" borderId="132" xfId="6" applyNumberFormat="1" applyFont="1" applyFill="1" applyBorder="1" applyAlignment="1">
      <alignment horizontal="left" vertical="center"/>
    </xf>
    <xf numFmtId="0" fontId="27" fillId="18" borderId="133" xfId="6" applyNumberFormat="1" applyFont="1" applyFill="1" applyBorder="1" applyAlignment="1">
      <alignment horizontal="left" vertical="center"/>
    </xf>
    <xf numFmtId="0" fontId="27" fillId="19" borderId="132" xfId="6" applyNumberFormat="1" applyFont="1" applyFill="1" applyBorder="1" applyAlignment="1">
      <alignment horizontal="left" vertical="center"/>
    </xf>
    <xf numFmtId="0" fontId="27" fillId="19" borderId="60" xfId="6" applyNumberFormat="1" applyFont="1" applyFill="1" applyBorder="1" applyAlignment="1">
      <alignment horizontal="left" vertical="center"/>
    </xf>
    <xf numFmtId="0" fontId="27" fillId="19" borderId="133" xfId="6" applyNumberFormat="1" applyFont="1" applyFill="1" applyBorder="1" applyAlignment="1">
      <alignment horizontal="left" vertical="center"/>
    </xf>
    <xf numFmtId="0" fontId="27" fillId="19" borderId="134" xfId="6" applyNumberFormat="1" applyFont="1" applyFill="1" applyBorder="1" applyAlignment="1">
      <alignment vertical="center"/>
    </xf>
    <xf numFmtId="0" fontId="27" fillId="19" borderId="135" xfId="6" applyNumberFormat="1" applyFont="1" applyFill="1" applyBorder="1" applyAlignment="1">
      <alignment vertical="center"/>
    </xf>
    <xf numFmtId="0" fontId="27" fillId="19" borderId="136" xfId="6" applyNumberFormat="1" applyFont="1" applyFill="1" applyBorder="1" applyAlignment="1">
      <alignment vertical="center"/>
    </xf>
    <xf numFmtId="0" fontId="27" fillId="19" borderId="137" xfId="6" applyNumberFormat="1" applyFont="1" applyFill="1" applyBorder="1" applyAlignment="1">
      <alignment horizontal="left" vertical="center"/>
    </xf>
    <xf numFmtId="0" fontId="27" fillId="19" borderId="138" xfId="6" applyNumberFormat="1" applyFont="1" applyFill="1" applyBorder="1" applyAlignment="1">
      <alignment horizontal="left" vertical="center"/>
    </xf>
    <xf numFmtId="0" fontId="27" fillId="0" borderId="140" xfId="3" applyFont="1" applyBorder="1" applyAlignment="1">
      <alignment horizontal="center" vertical="center"/>
    </xf>
    <xf numFmtId="0" fontId="43" fillId="0" borderId="140" xfId="3" applyFont="1" applyBorder="1" applyAlignment="1">
      <alignment horizontal="center" vertical="center"/>
    </xf>
    <xf numFmtId="0" fontId="43" fillId="41" borderId="140" xfId="3" applyFont="1" applyFill="1" applyBorder="1">
      <alignment vertical="center"/>
    </xf>
    <xf numFmtId="186" fontId="26" fillId="21" borderId="39" xfId="3" applyNumberFormat="1" applyFont="1" applyFill="1" applyBorder="1" applyAlignment="1" applyProtection="1">
      <alignment horizontal="center" vertical="center"/>
      <protection locked="0"/>
    </xf>
    <xf numFmtId="0" fontId="27" fillId="0" borderId="0" xfId="3" applyFont="1" applyAlignment="1" applyProtection="1">
      <alignment horizontal="left" vertical="top"/>
      <protection locked="0"/>
    </xf>
    <xf numFmtId="0" fontId="27" fillId="0" borderId="0" xfId="3" applyFont="1" applyProtection="1">
      <alignment vertical="center"/>
      <protection locked="0"/>
    </xf>
    <xf numFmtId="0" fontId="63" fillId="16" borderId="0" xfId="3" applyFont="1" applyFill="1" applyAlignment="1">
      <alignment horizontal="center" vertical="center"/>
    </xf>
    <xf numFmtId="0" fontId="64" fillId="0" borderId="0" xfId="3" applyFont="1" applyAlignment="1">
      <alignment horizontal="center" vertical="center"/>
    </xf>
    <xf numFmtId="186" fontId="63" fillId="16" borderId="0" xfId="3" applyNumberFormat="1" applyFont="1" applyFill="1" applyAlignment="1">
      <alignment horizontal="center" vertical="center"/>
    </xf>
    <xf numFmtId="0" fontId="26" fillId="28" borderId="39" xfId="3" applyFont="1" applyFill="1" applyBorder="1" applyProtection="1">
      <alignment vertical="center"/>
      <protection locked="0"/>
    </xf>
    <xf numFmtId="0" fontId="9" fillId="0" borderId="0" xfId="3" applyFont="1">
      <alignment vertical="center"/>
    </xf>
    <xf numFmtId="0" fontId="14" fillId="0" borderId="0" xfId="3" applyFont="1">
      <alignment vertical="center"/>
    </xf>
    <xf numFmtId="188" fontId="11" fillId="0" borderId="24" xfId="3" applyNumberFormat="1" applyFont="1" applyBorder="1" applyAlignment="1">
      <alignment horizontal="centerContinuous" vertical="center"/>
    </xf>
    <xf numFmtId="185" fontId="16" fillId="5" borderId="6" xfId="3" applyNumberFormat="1" applyFont="1" applyFill="1" applyBorder="1" applyAlignment="1">
      <alignment horizontal="centerContinuous" vertical="center"/>
    </xf>
    <xf numFmtId="185" fontId="16" fillId="5" borderId="8" xfId="3" applyNumberFormat="1" applyFont="1" applyFill="1" applyBorder="1" applyAlignment="1">
      <alignment horizontal="centerContinuous" vertical="center"/>
    </xf>
    <xf numFmtId="0" fontId="11" fillId="0" borderId="26" xfId="3" applyFont="1" applyBorder="1" applyAlignment="1">
      <alignment horizontal="centerContinuous" vertical="center"/>
    </xf>
    <xf numFmtId="185" fontId="11" fillId="0" borderId="24" xfId="3" applyNumberFormat="1" applyFont="1" applyBorder="1" applyAlignment="1">
      <alignment horizontal="centerContinuous" vertical="center"/>
    </xf>
    <xf numFmtId="0" fontId="11" fillId="0" borderId="17" xfId="3" applyFont="1" applyBorder="1" applyAlignment="1">
      <alignment horizontal="centerContinuous" vertical="center"/>
    </xf>
    <xf numFmtId="0" fontId="25" fillId="0" borderId="14" xfId="3" applyFont="1" applyBorder="1">
      <alignment vertical="center"/>
    </xf>
    <xf numFmtId="0" fontId="25" fillId="0" borderId="22" xfId="3" applyFont="1" applyBorder="1">
      <alignment vertical="center"/>
    </xf>
    <xf numFmtId="185" fontId="16" fillId="5" borderId="146" xfId="3" applyNumberFormat="1" applyFont="1" applyFill="1" applyBorder="1" applyAlignment="1">
      <alignment horizontal="centerContinuous" vertical="center"/>
    </xf>
    <xf numFmtId="0" fontId="66" fillId="0" borderId="34" xfId="3" applyFont="1" applyBorder="1">
      <alignment vertical="center"/>
    </xf>
    <xf numFmtId="0" fontId="67" fillId="0" borderId="35" xfId="3" applyFont="1" applyBorder="1">
      <alignment vertical="center"/>
    </xf>
    <xf numFmtId="0" fontId="69" fillId="0" borderId="43" xfId="3" applyFont="1" applyBorder="1">
      <alignment vertical="center"/>
    </xf>
    <xf numFmtId="0" fontId="70" fillId="0" borderId="44" xfId="3" applyFont="1" applyBorder="1">
      <alignment vertical="center"/>
    </xf>
    <xf numFmtId="0" fontId="70" fillId="0" borderId="43" xfId="3" applyFont="1" applyBorder="1">
      <alignment vertical="center"/>
    </xf>
    <xf numFmtId="0" fontId="11" fillId="0" borderId="147" xfId="3" applyFont="1" applyBorder="1">
      <alignment vertical="center"/>
    </xf>
    <xf numFmtId="0" fontId="11" fillId="0" borderId="148" xfId="3" applyFont="1" applyBorder="1">
      <alignment vertical="center"/>
    </xf>
    <xf numFmtId="0" fontId="66" fillId="0" borderId="149" xfId="3" applyFont="1" applyBorder="1">
      <alignment vertical="center"/>
    </xf>
    <xf numFmtId="0" fontId="67" fillId="0" borderId="150" xfId="3" applyFont="1" applyBorder="1">
      <alignment vertical="center"/>
    </xf>
    <xf numFmtId="9" fontId="68" fillId="0" borderId="150" xfId="1" applyNumberFormat="1" applyFont="1" applyBorder="1" applyAlignment="1">
      <alignment vertical="center"/>
    </xf>
    <xf numFmtId="0" fontId="11" fillId="0" borderId="151" xfId="3" applyFont="1" applyBorder="1">
      <alignment vertical="center"/>
    </xf>
    <xf numFmtId="0" fontId="11" fillId="0" borderId="152" xfId="3" applyFont="1" applyBorder="1">
      <alignment vertical="center"/>
    </xf>
    <xf numFmtId="185" fontId="11" fillId="0" borderId="152" xfId="3" applyNumberFormat="1" applyFont="1" applyBorder="1" applyAlignment="1">
      <alignment horizontal="centerContinuous" vertical="center"/>
    </xf>
    <xf numFmtId="6" fontId="71" fillId="0" borderId="30" xfId="4" applyNumberFormat="1" applyFont="1" applyBorder="1" applyAlignment="1">
      <alignment horizontal="centerContinuous" vertical="center"/>
    </xf>
    <xf numFmtId="6" fontId="71" fillId="0" borderId="0" xfId="4" applyNumberFormat="1" applyFont="1" applyBorder="1" applyAlignment="1">
      <alignment horizontal="centerContinuous" vertical="center"/>
    </xf>
    <xf numFmtId="6" fontId="71" fillId="0" borderId="31" xfId="4" applyNumberFormat="1" applyFont="1" applyBorder="1" applyAlignment="1">
      <alignment horizontal="centerContinuous" vertical="center"/>
    </xf>
    <xf numFmtId="6" fontId="68" fillId="0" borderId="24" xfId="3" applyNumberFormat="1" applyFont="1" applyBorder="1" applyAlignment="1">
      <alignment horizontal="centerContinuous" vertical="center"/>
    </xf>
    <xf numFmtId="187" fontId="52" fillId="0" borderId="24" xfId="3" applyNumberFormat="1" applyFont="1" applyBorder="1" applyAlignment="1">
      <alignment horizontal="centerContinuous" vertical="center"/>
    </xf>
    <xf numFmtId="6" fontId="52" fillId="0" borderId="24" xfId="3" applyNumberFormat="1" applyFont="1" applyBorder="1" applyAlignment="1">
      <alignment horizontal="centerContinuous" vertical="center"/>
    </xf>
    <xf numFmtId="189" fontId="72" fillId="0" borderId="30" xfId="4" applyNumberFormat="1" applyFont="1" applyBorder="1" applyAlignment="1">
      <alignment horizontal="centerContinuous" vertical="center"/>
    </xf>
    <xf numFmtId="190" fontId="72" fillId="0" borderId="30" xfId="4" applyNumberFormat="1" applyFont="1" applyBorder="1" applyAlignment="1">
      <alignment horizontal="centerContinuous" vertical="center"/>
    </xf>
    <xf numFmtId="6" fontId="72" fillId="0" borderId="31" xfId="4" applyNumberFormat="1" applyFont="1" applyBorder="1" applyAlignment="1">
      <alignment horizontal="centerContinuous" vertical="center"/>
    </xf>
    <xf numFmtId="6" fontId="73" fillId="0" borderId="45" xfId="3" applyNumberFormat="1" applyFont="1" applyBorder="1" applyAlignment="1">
      <alignment horizontal="centerContinuous" vertical="center"/>
    </xf>
    <xf numFmtId="190" fontId="73" fillId="0" borderId="46" xfId="4" applyNumberFormat="1" applyFont="1" applyBorder="1" applyAlignment="1">
      <alignment horizontal="centerContinuous" vertical="center"/>
    </xf>
    <xf numFmtId="6" fontId="72" fillId="0" borderId="30" xfId="4" applyNumberFormat="1" applyFont="1" applyBorder="1" applyAlignment="1">
      <alignment horizontal="centerContinuous" vertical="center"/>
    </xf>
    <xf numFmtId="6" fontId="72" fillId="0" borderId="0" xfId="4" applyNumberFormat="1" applyFont="1" applyBorder="1" applyAlignment="1">
      <alignment horizontal="centerContinuous" vertical="center"/>
    </xf>
    <xf numFmtId="199" fontId="73" fillId="0" borderId="45" xfId="3" applyNumberFormat="1" applyFont="1" applyBorder="1" applyAlignment="1">
      <alignment horizontal="centerContinuous" vertical="center"/>
    </xf>
    <xf numFmtId="0" fontId="13" fillId="0" borderId="155" xfId="3" applyFont="1" applyBorder="1">
      <alignment vertical="center"/>
    </xf>
    <xf numFmtId="0" fontId="11" fillId="0" borderId="156" xfId="3" applyFont="1" applyBorder="1">
      <alignment vertical="center"/>
    </xf>
    <xf numFmtId="0" fontId="11" fillId="0" borderId="160" xfId="3" applyFont="1" applyBorder="1" applyAlignment="1">
      <alignment horizontal="centerContinuous" vertical="center"/>
    </xf>
    <xf numFmtId="0" fontId="11" fillId="0" borderId="161" xfId="3" applyFont="1" applyBorder="1" applyAlignment="1">
      <alignment horizontal="centerContinuous" vertical="center"/>
    </xf>
    <xf numFmtId="0" fontId="11" fillId="0" borderId="162" xfId="3" applyFont="1" applyBorder="1" applyAlignment="1">
      <alignment horizontal="centerContinuous" vertical="center"/>
    </xf>
    <xf numFmtId="185" fontId="11" fillId="0" borderId="160" xfId="3" applyNumberFormat="1" applyFont="1" applyBorder="1" applyAlignment="1">
      <alignment horizontal="centerContinuous" vertical="center"/>
    </xf>
    <xf numFmtId="185" fontId="11" fillId="0" borderId="161" xfId="3" applyNumberFormat="1" applyFont="1" applyBorder="1" applyAlignment="1">
      <alignment horizontal="centerContinuous" vertical="center"/>
    </xf>
    <xf numFmtId="185" fontId="11" fillId="0" borderId="162" xfId="3" applyNumberFormat="1" applyFont="1" applyBorder="1" applyAlignment="1">
      <alignment horizontal="centerContinuous" vertical="center"/>
    </xf>
    <xf numFmtId="0" fontId="11" fillId="0" borderId="165" xfId="3" applyFont="1" applyBorder="1" applyAlignment="1">
      <alignment horizontal="centerContinuous" vertical="center"/>
    </xf>
    <xf numFmtId="0" fontId="11" fillId="0" borderId="165" xfId="3" applyFont="1" applyBorder="1">
      <alignment vertical="center"/>
    </xf>
    <xf numFmtId="0" fontId="11" fillId="0" borderId="158" xfId="3" applyFont="1" applyBorder="1" applyAlignment="1">
      <alignment horizontal="centerContinuous" vertical="center"/>
    </xf>
    <xf numFmtId="0" fontId="13" fillId="0" borderId="166" xfId="3" applyFont="1" applyBorder="1">
      <alignment vertical="center"/>
    </xf>
    <xf numFmtId="0" fontId="11" fillId="0" borderId="167" xfId="3" applyFont="1" applyBorder="1" applyAlignment="1">
      <alignment horizontal="centerContinuous" vertical="center"/>
    </xf>
    <xf numFmtId="0" fontId="11" fillId="0" borderId="170" xfId="3" applyFont="1" applyBorder="1" applyAlignment="1">
      <alignment horizontal="centerContinuous" vertical="center"/>
    </xf>
    <xf numFmtId="179" fontId="11" fillId="0" borderId="171" xfId="5" applyNumberFormat="1" applyFont="1" applyBorder="1" applyAlignment="1">
      <alignment horizontal="centerContinuous" vertical="center"/>
    </xf>
    <xf numFmtId="179" fontId="11" fillId="0" borderId="158" xfId="5" applyNumberFormat="1" applyFont="1" applyBorder="1" applyAlignment="1">
      <alignment horizontal="centerContinuous" vertical="center"/>
    </xf>
    <xf numFmtId="6" fontId="71" fillId="0" borderId="172" xfId="4" applyNumberFormat="1" applyFont="1" applyBorder="1" applyAlignment="1">
      <alignment horizontal="centerContinuous" vertical="center"/>
    </xf>
    <xf numFmtId="6" fontId="68" fillId="0" borderId="158" xfId="3" applyNumberFormat="1" applyFont="1" applyBorder="1" applyAlignment="1">
      <alignment horizontal="centerContinuous" vertical="center"/>
    </xf>
    <xf numFmtId="6" fontId="52" fillId="0" borderId="158" xfId="3" applyNumberFormat="1" applyFont="1" applyBorder="1" applyAlignment="1">
      <alignment horizontal="centerContinuous" vertical="center"/>
    </xf>
    <xf numFmtId="6" fontId="11" fillId="0" borderId="158" xfId="3" applyNumberFormat="1" applyFont="1" applyBorder="1" applyAlignment="1">
      <alignment horizontal="centerContinuous" vertical="center"/>
    </xf>
    <xf numFmtId="6" fontId="72" fillId="0" borderId="172" xfId="4" applyNumberFormat="1" applyFont="1" applyBorder="1" applyAlignment="1">
      <alignment horizontal="centerContinuous" vertical="center"/>
    </xf>
    <xf numFmtId="6" fontId="73" fillId="0" borderId="179" xfId="3" applyNumberFormat="1" applyFont="1" applyBorder="1" applyAlignment="1">
      <alignment horizontal="centerContinuous" vertical="center"/>
    </xf>
    <xf numFmtId="0" fontId="11" fillId="0" borderId="181" xfId="3" applyFont="1" applyBorder="1">
      <alignment vertical="center"/>
    </xf>
    <xf numFmtId="6" fontId="72" fillId="0" borderId="10" xfId="3" applyNumberFormat="1" applyFont="1" applyBorder="1" applyAlignment="1">
      <alignment horizontal="centerContinuous" vertical="center"/>
    </xf>
    <xf numFmtId="179" fontId="72" fillId="0" borderId="182" xfId="5" applyNumberFormat="1" applyFont="1" applyBorder="1" applyAlignment="1">
      <alignment horizontal="centerContinuous" vertical="center"/>
    </xf>
    <xf numFmtId="0" fontId="72" fillId="0" borderId="10" xfId="3" applyFont="1" applyBorder="1" applyAlignment="1">
      <alignment horizontal="centerContinuous" vertical="center"/>
    </xf>
    <xf numFmtId="6" fontId="72" fillId="0" borderId="11" xfId="3" applyNumberFormat="1" applyFont="1" applyBorder="1" applyAlignment="1">
      <alignment horizontal="centerContinuous" vertical="center"/>
    </xf>
    <xf numFmtId="0" fontId="7" fillId="0" borderId="0" xfId="0" applyFont="1" applyAlignment="1">
      <alignment horizontal="left" vertical="top"/>
    </xf>
    <xf numFmtId="0" fontId="7" fillId="0" borderId="0" xfId="0" applyFont="1" applyAlignment="1">
      <alignment horizontal="center" vertical="top"/>
    </xf>
    <xf numFmtId="200" fontId="26" fillId="28" borderId="39" xfId="3" applyNumberFormat="1" applyFont="1" applyFill="1" applyBorder="1" applyAlignment="1" applyProtection="1">
      <alignment horizontal="center" vertical="center"/>
      <protection locked="0"/>
    </xf>
    <xf numFmtId="0" fontId="25" fillId="0" borderId="52" xfId="3" applyFont="1" applyBorder="1" applyAlignment="1">
      <alignment horizontal="center" vertical="top" wrapText="1"/>
    </xf>
    <xf numFmtId="0" fontId="25" fillId="0" borderId="55" xfId="3" applyFont="1" applyBorder="1" applyAlignment="1">
      <alignment horizontal="center" vertical="top" wrapText="1"/>
    </xf>
    <xf numFmtId="0" fontId="25" fillId="10" borderId="55" xfId="3" applyFont="1" applyFill="1" applyBorder="1" applyAlignment="1">
      <alignment horizontal="center" vertical="top" wrapText="1"/>
    </xf>
    <xf numFmtId="0" fontId="27" fillId="45" borderId="67" xfId="6" applyNumberFormat="1" applyFont="1" applyFill="1" applyBorder="1" applyAlignment="1">
      <alignment horizontal="left" vertical="top" wrapText="1"/>
    </xf>
    <xf numFmtId="0" fontId="27" fillId="0" borderId="0" xfId="3" applyFont="1" applyAlignment="1">
      <alignment vertical="top" wrapText="1"/>
    </xf>
    <xf numFmtId="0" fontId="27" fillId="28" borderId="39" xfId="3" applyFont="1" applyFill="1" applyBorder="1" applyAlignment="1" applyProtection="1">
      <alignment horizontal="left" vertical="center"/>
      <protection locked="0"/>
    </xf>
    <xf numFmtId="191" fontId="46" fillId="0" borderId="0" xfId="0" applyNumberFormat="1" applyFont="1" applyAlignment="1">
      <alignment horizontal="left" vertical="top"/>
    </xf>
    <xf numFmtId="191" fontId="2" fillId="0" borderId="0" xfId="0" applyNumberFormat="1" applyFont="1" applyAlignment="1">
      <alignment horizontal="left" vertical="center"/>
    </xf>
    <xf numFmtId="0" fontId="3" fillId="17" borderId="2" xfId="0" applyFont="1" applyFill="1" applyBorder="1" applyAlignment="1">
      <alignment vertical="center" wrapText="1"/>
    </xf>
    <xf numFmtId="201" fontId="63" fillId="16" borderId="0" xfId="3" applyNumberFormat="1" applyFont="1" applyFill="1" applyAlignment="1">
      <alignment horizontal="center" vertical="center"/>
    </xf>
    <xf numFmtId="0" fontId="75" fillId="0" borderId="0" xfId="0" applyFont="1" applyAlignment="1">
      <alignment horizontal="left" vertical="top" wrapText="1"/>
    </xf>
    <xf numFmtId="0" fontId="27" fillId="0" borderId="49" xfId="3" applyFont="1" applyBorder="1">
      <alignment vertical="center"/>
    </xf>
    <xf numFmtId="0" fontId="27" fillId="11" borderId="49" xfId="3" applyFont="1" applyFill="1" applyBorder="1" applyAlignment="1">
      <alignment horizontal="center" vertical="center"/>
    </xf>
    <xf numFmtId="0" fontId="27" fillId="11" borderId="39" xfId="3" applyFont="1" applyFill="1" applyBorder="1">
      <alignment vertical="center"/>
    </xf>
    <xf numFmtId="191" fontId="27" fillId="0" borderId="39" xfId="3" applyNumberFormat="1" applyFont="1" applyBorder="1">
      <alignment vertical="center"/>
    </xf>
    <xf numFmtId="2" fontId="27" fillId="0" borderId="0" xfId="3" applyNumberFormat="1" applyFont="1">
      <alignment vertical="center"/>
    </xf>
    <xf numFmtId="192" fontId="27" fillId="0" borderId="39" xfId="6" applyNumberFormat="1" applyFont="1" applyBorder="1">
      <alignment vertical="center"/>
    </xf>
    <xf numFmtId="178" fontId="27" fillId="0" borderId="0" xfId="3" applyNumberFormat="1" applyFont="1">
      <alignment vertical="center"/>
    </xf>
    <xf numFmtId="198" fontId="27" fillId="0" borderId="0" xfId="3" applyNumberFormat="1" applyFont="1">
      <alignment vertical="center"/>
    </xf>
    <xf numFmtId="179" fontId="27" fillId="0" borderId="32" xfId="3" applyNumberFormat="1" applyFont="1" applyBorder="1">
      <alignment vertical="center"/>
    </xf>
    <xf numFmtId="179" fontId="75" fillId="0" borderId="39" xfId="7" applyNumberFormat="1" applyFont="1" applyBorder="1"/>
    <xf numFmtId="0" fontId="27" fillId="0" borderId="39" xfId="3" applyFont="1" applyBorder="1">
      <alignment vertical="center"/>
    </xf>
    <xf numFmtId="0" fontId="25" fillId="0" borderId="0" xfId="3" applyFont="1">
      <alignment vertical="center"/>
    </xf>
    <xf numFmtId="0" fontId="75" fillId="0" borderId="0" xfId="0" applyFont="1" applyAlignment="1">
      <alignment horizontal="left" vertical="top"/>
    </xf>
    <xf numFmtId="0" fontId="27" fillId="11" borderId="39" xfId="3" applyFont="1" applyFill="1" applyBorder="1" applyAlignment="1">
      <alignment horizontal="center" vertical="top" wrapText="1"/>
    </xf>
    <xf numFmtId="0" fontId="27" fillId="11" borderId="39" xfId="3" applyFont="1" applyFill="1" applyBorder="1" applyAlignment="1">
      <alignment vertical="center" wrapText="1"/>
    </xf>
    <xf numFmtId="0" fontId="77" fillId="13" borderId="0" xfId="7" quotePrefix="1" applyFont="1" applyFill="1" applyAlignment="1">
      <alignment vertical="center"/>
    </xf>
    <xf numFmtId="0" fontId="27" fillId="0" borderId="39" xfId="3" applyFont="1" applyBorder="1" applyAlignment="1">
      <alignment vertical="center" wrapText="1"/>
    </xf>
    <xf numFmtId="0" fontId="27" fillId="0" borderId="16" xfId="3" applyFont="1" applyBorder="1">
      <alignment vertical="center"/>
    </xf>
    <xf numFmtId="191" fontId="27" fillId="12" borderId="39" xfId="5" applyNumberFormat="1" applyFont="1" applyFill="1" applyBorder="1">
      <alignment vertical="center"/>
    </xf>
    <xf numFmtId="193" fontId="78" fillId="11" borderId="21" xfId="3" applyNumberFormat="1" applyFont="1" applyFill="1" applyBorder="1">
      <alignment vertical="center"/>
    </xf>
    <xf numFmtId="0" fontId="27" fillId="0" borderId="32" xfId="8" applyNumberFormat="1" applyFont="1" applyBorder="1" applyAlignment="1">
      <alignment vertical="center"/>
    </xf>
    <xf numFmtId="179" fontId="27" fillId="0" borderId="0" xfId="8" applyNumberFormat="1" applyFont="1" applyAlignment="1">
      <alignment vertical="center"/>
    </xf>
    <xf numFmtId="0" fontId="27" fillId="0" borderId="0" xfId="7" applyFont="1"/>
    <xf numFmtId="0" fontId="57" fillId="6" borderId="0" xfId="0" applyFont="1" applyFill="1" applyAlignment="1">
      <alignment vertical="center"/>
    </xf>
    <xf numFmtId="0" fontId="57" fillId="6" borderId="0" xfId="0" applyFont="1" applyFill="1" applyAlignment="1">
      <alignment horizontal="center" vertical="center"/>
    </xf>
    <xf numFmtId="14" fontId="57" fillId="0" borderId="0" xfId="0" applyNumberFormat="1" applyFont="1" applyAlignment="1">
      <alignment horizontal="right" vertical="center"/>
    </xf>
    <xf numFmtId="0" fontId="57" fillId="0" borderId="0" xfId="0" applyFont="1" applyAlignment="1">
      <alignment horizontal="left" vertical="center"/>
    </xf>
    <xf numFmtId="0" fontId="57" fillId="0" borderId="0" xfId="0" applyFont="1" applyAlignment="1">
      <alignment horizontal="center" vertical="center"/>
    </xf>
    <xf numFmtId="0" fontId="75" fillId="47" borderId="0" xfId="0" applyFont="1" applyFill="1" applyAlignment="1">
      <alignment horizontal="left" vertical="top"/>
    </xf>
    <xf numFmtId="2" fontId="27" fillId="0" borderId="0" xfId="1" applyNumberFormat="1" applyFont="1" applyAlignment="1"/>
    <xf numFmtId="2" fontId="27" fillId="47" borderId="0" xfId="1" applyNumberFormat="1" applyFont="1" applyFill="1" applyAlignment="1"/>
    <xf numFmtId="2" fontId="75" fillId="0" borderId="0" xfId="0" applyNumberFormat="1" applyFont="1" applyAlignment="1">
      <alignment horizontal="left" vertical="top"/>
    </xf>
    <xf numFmtId="2" fontId="75" fillId="0" borderId="0" xfId="0" applyNumberFormat="1" applyFont="1" applyAlignment="1">
      <alignment horizontal="right" vertical="top"/>
    </xf>
    <xf numFmtId="200" fontId="27" fillId="0" borderId="0" xfId="3" applyNumberFormat="1" applyFont="1" applyProtection="1">
      <alignment vertical="center"/>
      <protection hidden="1"/>
    </xf>
    <xf numFmtId="0" fontId="27" fillId="0" borderId="0" xfId="3" applyFont="1" applyProtection="1">
      <alignment vertical="center"/>
      <protection hidden="1"/>
    </xf>
    <xf numFmtId="186" fontId="27" fillId="0" borderId="0" xfId="3" applyNumberFormat="1" applyFont="1" applyProtection="1">
      <alignment vertical="center"/>
      <protection hidden="1"/>
    </xf>
    <xf numFmtId="177" fontId="75" fillId="0" borderId="0" xfId="4" applyFont="1" applyProtection="1">
      <alignment vertical="center"/>
      <protection hidden="1"/>
    </xf>
    <xf numFmtId="179" fontId="28" fillId="33" borderId="98" xfId="6" applyNumberFormat="1" applyFont="1" applyFill="1" applyBorder="1" applyAlignment="1" applyProtection="1">
      <alignment horizontal="center" vertical="center"/>
      <protection hidden="1"/>
    </xf>
    <xf numFmtId="0" fontId="43" fillId="38" borderId="98" xfId="6" applyNumberFormat="1" applyFont="1" applyFill="1" applyBorder="1" applyAlignment="1" applyProtection="1">
      <alignment horizontal="center" vertical="center"/>
      <protection hidden="1"/>
    </xf>
    <xf numFmtId="6" fontId="28" fillId="33" borderId="52" xfId="4" applyNumberFormat="1" applyFont="1" applyFill="1" applyBorder="1" applyAlignment="1" applyProtection="1">
      <alignment horizontal="center" vertical="center"/>
      <protection hidden="1"/>
    </xf>
    <xf numFmtId="0" fontId="43" fillId="38" borderId="52" xfId="6" applyNumberFormat="1" applyFont="1" applyFill="1" applyBorder="1" applyAlignment="1" applyProtection="1">
      <alignment horizontal="center" vertical="center"/>
      <protection hidden="1"/>
    </xf>
    <xf numFmtId="0" fontId="27" fillId="0" borderId="54" xfId="3" applyFont="1" applyBorder="1" applyProtection="1">
      <alignment vertical="center"/>
      <protection hidden="1"/>
    </xf>
    <xf numFmtId="0" fontId="28" fillId="38" borderId="52" xfId="6" applyNumberFormat="1" applyFont="1" applyFill="1" applyBorder="1" applyAlignment="1" applyProtection="1">
      <alignment horizontal="center" vertical="center"/>
      <protection hidden="1"/>
    </xf>
    <xf numFmtId="0" fontId="27" fillId="0" borderId="103" xfId="3" applyFont="1" applyBorder="1" applyProtection="1">
      <alignment vertical="center"/>
      <protection hidden="1"/>
    </xf>
    <xf numFmtId="0" fontId="28" fillId="38" borderId="102" xfId="6" applyNumberFormat="1" applyFont="1" applyFill="1" applyBorder="1" applyAlignment="1" applyProtection="1">
      <alignment horizontal="center" vertical="center"/>
      <protection hidden="1"/>
    </xf>
    <xf numFmtId="0" fontId="28" fillId="22" borderId="119" xfId="3" applyFont="1" applyFill="1" applyBorder="1" applyAlignment="1" applyProtection="1">
      <alignment horizontal="center" vertical="center"/>
      <protection hidden="1"/>
    </xf>
    <xf numFmtId="0" fontId="27" fillId="0" borderId="120" xfId="3" applyFont="1" applyBorder="1" applyProtection="1">
      <alignment vertical="center"/>
      <protection hidden="1"/>
    </xf>
    <xf numFmtId="0" fontId="28" fillId="38" borderId="100" xfId="6" applyNumberFormat="1" applyFont="1" applyFill="1" applyBorder="1" applyAlignment="1" applyProtection="1">
      <alignment horizontal="center" vertical="center"/>
      <protection hidden="1"/>
    </xf>
    <xf numFmtId="0" fontId="28" fillId="22" borderId="39" xfId="3" applyFont="1" applyFill="1" applyBorder="1" applyAlignment="1" applyProtection="1">
      <alignment horizontal="center" vertical="center"/>
      <protection hidden="1"/>
    </xf>
    <xf numFmtId="0" fontId="27" fillId="0" borderId="93" xfId="3" applyFont="1" applyBorder="1" applyProtection="1">
      <alignment vertical="center"/>
      <protection hidden="1"/>
    </xf>
    <xf numFmtId="0" fontId="28" fillId="38" borderId="69" xfId="6" applyNumberFormat="1" applyFont="1" applyFill="1" applyBorder="1" applyAlignment="1" applyProtection="1">
      <alignment horizontal="center" vertical="center"/>
      <protection hidden="1"/>
    </xf>
    <xf numFmtId="0" fontId="28" fillId="38" borderId="104" xfId="6" applyNumberFormat="1" applyFont="1" applyFill="1" applyBorder="1" applyAlignment="1" applyProtection="1">
      <alignment horizontal="center" vertical="center"/>
      <protection hidden="1"/>
    </xf>
    <xf numFmtId="179" fontId="28" fillId="33" borderId="102" xfId="6" applyNumberFormat="1" applyFont="1" applyFill="1" applyBorder="1" applyAlignment="1" applyProtection="1">
      <alignment horizontal="center" vertical="center"/>
      <protection hidden="1"/>
    </xf>
    <xf numFmtId="0" fontId="28" fillId="38" borderId="118" xfId="6" applyNumberFormat="1" applyFont="1" applyFill="1" applyBorder="1" applyAlignment="1" applyProtection="1">
      <alignment horizontal="centerContinuous" vertical="center"/>
      <protection hidden="1"/>
    </xf>
    <xf numFmtId="0" fontId="28" fillId="38" borderId="102" xfId="6" applyNumberFormat="1" applyFont="1" applyFill="1" applyBorder="1" applyAlignment="1" applyProtection="1">
      <alignment horizontal="centerContinuous" vertical="center"/>
      <protection hidden="1"/>
    </xf>
    <xf numFmtId="6" fontId="28" fillId="33" borderId="116" xfId="4" applyNumberFormat="1" applyFont="1" applyFill="1" applyBorder="1" applyAlignment="1" applyProtection="1">
      <alignment horizontal="center" vertical="center"/>
      <protection hidden="1"/>
    </xf>
    <xf numFmtId="187" fontId="28" fillId="33" borderId="98" xfId="4" applyNumberFormat="1" applyFont="1" applyFill="1" applyBorder="1" applyAlignment="1" applyProtection="1">
      <alignment horizontal="center" vertical="center"/>
      <protection hidden="1"/>
    </xf>
    <xf numFmtId="0" fontId="28" fillId="17" borderId="112" xfId="3" applyFont="1" applyFill="1" applyBorder="1" applyAlignment="1" applyProtection="1">
      <alignment horizontal="center" vertical="center"/>
      <protection hidden="1"/>
    </xf>
    <xf numFmtId="6" fontId="28" fillId="33" borderId="102" xfId="4" applyNumberFormat="1" applyFont="1" applyFill="1" applyBorder="1" applyAlignment="1" applyProtection="1">
      <alignment horizontal="center" vertical="center"/>
      <protection hidden="1"/>
    </xf>
    <xf numFmtId="190" fontId="28" fillId="33" borderId="98" xfId="4" applyNumberFormat="1" applyFont="1" applyFill="1" applyBorder="1" applyAlignment="1" applyProtection="1">
      <alignment horizontal="center" vertical="center"/>
      <protection hidden="1"/>
    </xf>
    <xf numFmtId="6" fontId="28" fillId="33" borderId="98" xfId="4" applyNumberFormat="1" applyFont="1" applyFill="1" applyBorder="1" applyAlignment="1" applyProtection="1">
      <alignment horizontal="center" vertical="center"/>
      <protection hidden="1"/>
    </xf>
    <xf numFmtId="0" fontId="28" fillId="17" borderId="114" xfId="3" applyFont="1" applyFill="1" applyBorder="1" applyAlignment="1" applyProtection="1">
      <alignment horizontal="center" vertical="center"/>
      <protection hidden="1"/>
    </xf>
    <xf numFmtId="0" fontId="28" fillId="17" borderId="131" xfId="3" applyFont="1" applyFill="1" applyBorder="1" applyAlignment="1" applyProtection="1">
      <alignment horizontal="center" vertical="center"/>
      <protection hidden="1"/>
    </xf>
    <xf numFmtId="0" fontId="41" fillId="14" borderId="19" xfId="3" applyFont="1" applyFill="1" applyBorder="1" applyAlignment="1" applyProtection="1">
      <alignment horizontal="center" vertical="center"/>
      <protection hidden="1"/>
    </xf>
    <xf numFmtId="0" fontId="27" fillId="15" borderId="52" xfId="3" applyFont="1" applyFill="1" applyBorder="1" applyAlignment="1" applyProtection="1">
      <alignment horizontal="center" vertical="center"/>
      <protection hidden="1"/>
    </xf>
    <xf numFmtId="179" fontId="25" fillId="15" borderId="52" xfId="5" applyNumberFormat="1" applyFont="1" applyFill="1" applyBorder="1" applyAlignment="1" applyProtection="1">
      <alignment horizontal="center" vertical="center"/>
      <protection hidden="1"/>
    </xf>
    <xf numFmtId="2" fontId="27" fillId="21" borderId="39" xfId="3" applyNumberFormat="1" applyFont="1" applyFill="1" applyBorder="1" applyAlignment="1" applyProtection="1">
      <alignment horizontal="center" vertical="center"/>
      <protection hidden="1"/>
    </xf>
    <xf numFmtId="2" fontId="25" fillId="15" borderId="39" xfId="3" applyNumberFormat="1" applyFont="1" applyFill="1" applyBorder="1" applyAlignment="1" applyProtection="1">
      <alignment horizontal="center" vertical="center"/>
      <protection hidden="1"/>
    </xf>
    <xf numFmtId="0" fontId="27" fillId="15" borderId="39" xfId="3" applyFont="1" applyFill="1" applyBorder="1" applyAlignment="1" applyProtection="1">
      <alignment horizontal="center" vertical="center"/>
      <protection hidden="1"/>
    </xf>
    <xf numFmtId="177" fontId="27" fillId="15" borderId="62" xfId="4" applyFont="1" applyFill="1" applyBorder="1" applyAlignment="1" applyProtection="1">
      <alignment horizontal="center" vertical="center"/>
      <protection hidden="1"/>
    </xf>
    <xf numFmtId="177" fontId="27" fillId="21" borderId="70" xfId="3" applyNumberFormat="1" applyFont="1" applyFill="1" applyBorder="1" applyAlignment="1" applyProtection="1">
      <alignment horizontal="left" vertical="center"/>
      <protection hidden="1"/>
    </xf>
    <xf numFmtId="0" fontId="27" fillId="21" borderId="53" xfId="3" applyFont="1" applyFill="1" applyBorder="1" applyAlignment="1" applyProtection="1">
      <alignment horizontal="center" vertical="center"/>
      <protection hidden="1"/>
    </xf>
    <xf numFmtId="177" fontId="27" fillId="26" borderId="66" xfId="3" applyNumberFormat="1" applyFont="1" applyFill="1" applyBorder="1" applyAlignment="1" applyProtection="1">
      <alignment horizontal="left" vertical="center"/>
      <protection hidden="1"/>
    </xf>
    <xf numFmtId="0" fontId="27" fillId="26" borderId="65" xfId="3" applyFont="1" applyFill="1" applyBorder="1" applyAlignment="1" applyProtection="1">
      <alignment horizontal="center" vertical="center"/>
      <protection hidden="1"/>
    </xf>
    <xf numFmtId="177" fontId="27" fillId="20" borderId="66" xfId="3" applyNumberFormat="1" applyFont="1" applyFill="1" applyBorder="1" applyAlignment="1" applyProtection="1">
      <alignment horizontal="left" vertical="center"/>
      <protection hidden="1"/>
    </xf>
    <xf numFmtId="0" fontId="27" fillId="20" borderId="65" xfId="3" applyFont="1" applyFill="1" applyBorder="1" applyAlignment="1" applyProtection="1">
      <alignment horizontal="center" vertical="center"/>
      <protection hidden="1"/>
    </xf>
    <xf numFmtId="0" fontId="27" fillId="21" borderId="39" xfId="3" applyFont="1" applyFill="1" applyBorder="1" applyAlignment="1" applyProtection="1">
      <alignment horizontal="center" vertical="center"/>
      <protection hidden="1"/>
    </xf>
    <xf numFmtId="195" fontId="28" fillId="37" borderId="23" xfId="3" applyNumberFormat="1" applyFont="1" applyFill="1" applyBorder="1" applyAlignment="1" applyProtection="1">
      <alignment horizontal="center" vertical="center"/>
      <protection hidden="1"/>
    </xf>
    <xf numFmtId="195" fontId="28" fillId="37" borderId="0" xfId="3" applyNumberFormat="1" applyFont="1" applyFill="1" applyAlignment="1" applyProtection="1">
      <alignment horizontal="center" vertical="center"/>
      <protection hidden="1"/>
    </xf>
    <xf numFmtId="0" fontId="27" fillId="6" borderId="107" xfId="3" applyFont="1" applyFill="1" applyBorder="1" applyAlignment="1" applyProtection="1">
      <alignment horizontal="center" vertical="center"/>
      <protection hidden="1"/>
    </xf>
    <xf numFmtId="177" fontId="26" fillId="0" borderId="52" xfId="4" applyFont="1" applyBorder="1" applyProtection="1">
      <alignment vertical="center"/>
      <protection hidden="1"/>
    </xf>
    <xf numFmtId="9" fontId="26" fillId="0" borderId="52" xfId="2" applyFont="1" applyBorder="1" applyProtection="1">
      <alignment vertical="center"/>
      <protection hidden="1"/>
    </xf>
    <xf numFmtId="177" fontId="26" fillId="0" borderId="52" xfId="1" applyFont="1" applyBorder="1" applyProtection="1">
      <alignment vertical="center"/>
      <protection hidden="1"/>
    </xf>
    <xf numFmtId="9" fontId="26" fillId="0" borderId="108" xfId="2" applyFont="1" applyBorder="1" applyProtection="1">
      <alignment vertical="center"/>
      <protection hidden="1"/>
    </xf>
    <xf numFmtId="0" fontId="27" fillId="0" borderId="109" xfId="3" applyFont="1" applyBorder="1" applyProtection="1">
      <alignment vertical="center"/>
      <protection hidden="1"/>
    </xf>
    <xf numFmtId="0" fontId="27" fillId="6" borderId="110" xfId="3" applyFont="1" applyFill="1" applyBorder="1" applyAlignment="1" applyProtection="1">
      <alignment horizontal="center" vertical="center"/>
      <protection hidden="1"/>
    </xf>
    <xf numFmtId="177" fontId="26" fillId="0" borderId="102" xfId="4" applyFont="1" applyBorder="1" applyProtection="1">
      <alignment vertical="center"/>
      <protection hidden="1"/>
    </xf>
    <xf numFmtId="0" fontId="27" fillId="0" borderId="111" xfId="3" applyFont="1" applyBorder="1" applyProtection="1">
      <alignment vertical="center"/>
      <protection hidden="1"/>
    </xf>
    <xf numFmtId="6" fontId="26" fillId="21" borderId="39" xfId="3" applyNumberFormat="1" applyFont="1" applyFill="1" applyBorder="1" applyAlignment="1" applyProtection="1">
      <alignment horizontal="center" vertical="center"/>
      <protection hidden="1"/>
    </xf>
    <xf numFmtId="179" fontId="72" fillId="0" borderId="182" xfId="5" applyNumberFormat="1" applyFont="1" applyBorder="1" applyAlignment="1" applyProtection="1">
      <alignment horizontal="centerContinuous" vertical="center"/>
      <protection hidden="1"/>
    </xf>
    <xf numFmtId="0" fontId="11" fillId="0" borderId="26" xfId="3" applyFont="1" applyBorder="1" applyProtection="1">
      <alignment vertical="center"/>
      <protection hidden="1"/>
    </xf>
    <xf numFmtId="0" fontId="11" fillId="0" borderId="26" xfId="3" applyFont="1" applyBorder="1" applyAlignment="1" applyProtection="1">
      <alignment horizontal="centerContinuous" vertical="center"/>
      <protection hidden="1"/>
    </xf>
    <xf numFmtId="0" fontId="11" fillId="0" borderId="167" xfId="3" applyFont="1" applyBorder="1" applyAlignment="1" applyProtection="1">
      <alignment horizontal="centerContinuous" vertical="center"/>
      <protection hidden="1"/>
    </xf>
    <xf numFmtId="0" fontId="11" fillId="0" borderId="33" xfId="3" applyFont="1" applyBorder="1" applyProtection="1">
      <alignment vertical="center"/>
      <protection hidden="1"/>
    </xf>
    <xf numFmtId="0" fontId="11" fillId="0" borderId="27" xfId="3" applyFont="1" applyBorder="1" applyAlignment="1" applyProtection="1">
      <alignment horizontal="centerContinuous" vertical="center"/>
      <protection hidden="1"/>
    </xf>
    <xf numFmtId="0" fontId="11" fillId="0" borderId="161" xfId="3" applyFont="1" applyBorder="1" applyAlignment="1" applyProtection="1">
      <alignment horizontal="centerContinuous" vertical="center"/>
      <protection hidden="1"/>
    </xf>
    <xf numFmtId="0" fontId="11" fillId="0" borderId="36" xfId="3" applyFont="1" applyBorder="1" applyProtection="1">
      <alignment vertical="center"/>
      <protection hidden="1"/>
    </xf>
    <xf numFmtId="0" fontId="11" fillId="0" borderId="24" xfId="3" applyFont="1" applyBorder="1" applyAlignment="1" applyProtection="1">
      <alignment horizontal="centerContinuous" vertical="center"/>
      <protection hidden="1"/>
    </xf>
    <xf numFmtId="0" fontId="11" fillId="0" borderId="162" xfId="3" applyFont="1" applyBorder="1" applyAlignment="1" applyProtection="1">
      <alignment horizontal="centerContinuous" vertical="center"/>
      <protection hidden="1"/>
    </xf>
    <xf numFmtId="9" fontId="68" fillId="0" borderId="150" xfId="1" applyNumberFormat="1" applyFont="1" applyBorder="1" applyAlignment="1" applyProtection="1">
      <alignment vertical="center"/>
      <protection hidden="1"/>
    </xf>
    <xf numFmtId="0" fontId="11" fillId="0" borderId="17" xfId="3" applyFont="1" applyBorder="1" applyAlignment="1" applyProtection="1">
      <alignment horizontal="centerContinuous" vertical="center"/>
      <protection hidden="1"/>
    </xf>
    <xf numFmtId="0" fontId="28" fillId="38" borderId="101" xfId="6" applyNumberFormat="1" applyFont="1" applyFill="1" applyBorder="1" applyAlignment="1" applyProtection="1">
      <alignment horizontal="center" vertical="center"/>
      <protection hidden="1"/>
    </xf>
    <xf numFmtId="0" fontId="28" fillId="38" borderId="125" xfId="6" applyNumberFormat="1" applyFont="1" applyFill="1" applyBorder="1" applyAlignment="1" applyProtection="1">
      <alignment horizontal="center" vertical="center"/>
      <protection hidden="1"/>
    </xf>
    <xf numFmtId="0" fontId="28" fillId="38" borderId="113" xfId="6" applyNumberFormat="1" applyFont="1" applyFill="1" applyBorder="1" applyAlignment="1" applyProtection="1">
      <alignment horizontal="center" vertical="center"/>
      <protection hidden="1"/>
    </xf>
    <xf numFmtId="0" fontId="30" fillId="0" borderId="0" xfId="3" applyFont="1" applyAlignment="1" applyProtection="1">
      <alignment horizontal="center" vertical="center"/>
      <protection hidden="1"/>
    </xf>
    <xf numFmtId="0" fontId="28" fillId="22" borderId="101" xfId="3" applyFont="1" applyFill="1" applyBorder="1" applyAlignment="1" applyProtection="1">
      <alignment horizontal="center" vertical="center"/>
      <protection hidden="1"/>
    </xf>
    <xf numFmtId="0" fontId="28" fillId="22" borderId="125" xfId="3" applyFont="1" applyFill="1" applyBorder="1" applyAlignment="1" applyProtection="1">
      <alignment horizontal="center" vertical="center"/>
      <protection hidden="1"/>
    </xf>
    <xf numFmtId="0" fontId="28" fillId="22" borderId="113" xfId="3" applyFont="1" applyFill="1" applyBorder="1" applyAlignment="1" applyProtection="1">
      <alignment horizontal="center" vertical="center"/>
      <protection hidden="1"/>
    </xf>
    <xf numFmtId="0" fontId="27" fillId="0" borderId="0" xfId="3" applyFont="1" applyAlignment="1" applyProtection="1">
      <alignment horizontal="center" vertical="center"/>
      <protection hidden="1"/>
    </xf>
    <xf numFmtId="0" fontId="28" fillId="38" borderId="124" xfId="6" applyNumberFormat="1" applyFont="1" applyFill="1" applyBorder="1" applyAlignment="1" applyProtection="1">
      <alignment horizontal="center" vertical="center"/>
      <protection hidden="1"/>
    </xf>
    <xf numFmtId="0" fontId="28" fillId="22" borderId="114" xfId="3" applyFont="1" applyFill="1" applyBorder="1" applyAlignment="1" applyProtection="1">
      <alignment horizontal="center" vertical="center"/>
      <protection hidden="1"/>
    </xf>
    <xf numFmtId="0" fontId="28" fillId="22" borderId="121" xfId="3" applyFont="1" applyFill="1" applyBorder="1" applyAlignment="1" applyProtection="1">
      <alignment horizontal="center" vertical="center"/>
      <protection hidden="1"/>
    </xf>
    <xf numFmtId="0" fontId="28" fillId="22" borderId="115" xfId="3" applyFont="1" applyFill="1" applyBorder="1" applyAlignment="1" applyProtection="1">
      <alignment horizontal="center" vertical="center"/>
      <protection hidden="1"/>
    </xf>
    <xf numFmtId="0" fontId="28" fillId="17" borderId="101" xfId="3" applyFont="1" applyFill="1" applyBorder="1" applyAlignment="1" applyProtection="1">
      <alignment horizontal="center" vertical="center"/>
      <protection hidden="1"/>
    </xf>
    <xf numFmtId="0" fontId="28" fillId="17" borderId="113" xfId="3" applyFont="1" applyFill="1" applyBorder="1" applyAlignment="1" applyProtection="1">
      <alignment horizontal="center" vertical="center"/>
      <protection hidden="1"/>
    </xf>
    <xf numFmtId="0" fontId="28" fillId="39" borderId="19" xfId="3" applyFont="1" applyFill="1" applyBorder="1" applyAlignment="1" applyProtection="1">
      <alignment horizontal="center" vertical="center"/>
      <protection hidden="1"/>
    </xf>
    <xf numFmtId="0" fontId="28" fillId="17" borderId="115" xfId="3" applyFont="1" applyFill="1" applyBorder="1" applyAlignment="1" applyProtection="1">
      <alignment horizontal="center" vertical="center"/>
      <protection hidden="1"/>
    </xf>
    <xf numFmtId="0" fontId="28" fillId="31" borderId="6" xfId="3" applyFont="1" applyFill="1" applyBorder="1" applyAlignment="1">
      <alignment horizontal="center" vertical="center" wrapText="1"/>
    </xf>
    <xf numFmtId="0" fontId="28" fillId="31" borderId="8" xfId="3" applyFont="1" applyFill="1" applyBorder="1" applyAlignment="1">
      <alignment horizontal="center" vertical="center" wrapText="1"/>
    </xf>
    <xf numFmtId="0" fontId="27" fillId="16" borderId="12" xfId="3" applyFont="1" applyFill="1" applyBorder="1" applyAlignment="1">
      <alignment horizontal="left" vertical="center"/>
    </xf>
    <xf numFmtId="0" fontId="27" fillId="16" borderId="13" xfId="3" applyFont="1" applyFill="1" applyBorder="1" applyAlignment="1">
      <alignment horizontal="left" vertical="center"/>
    </xf>
    <xf numFmtId="0" fontId="29" fillId="32" borderId="183" xfId="6" applyNumberFormat="1" applyFont="1" applyFill="1" applyBorder="1" applyAlignment="1" applyProtection="1">
      <alignment horizontal="center" vertical="center"/>
      <protection locked="0"/>
    </xf>
    <xf numFmtId="0" fontId="28" fillId="38" borderId="101" xfId="6" applyNumberFormat="1" applyFont="1" applyFill="1" applyBorder="1" applyAlignment="1" applyProtection="1">
      <alignment horizontal="center" vertical="center"/>
    </xf>
    <xf numFmtId="0" fontId="29" fillId="32" borderId="110" xfId="6" applyNumberFormat="1" applyFont="1" applyFill="1" applyBorder="1" applyAlignment="1" applyProtection="1">
      <alignment horizontal="center" vertical="center"/>
      <protection locked="0"/>
    </xf>
    <xf numFmtId="0" fontId="28" fillId="38" borderId="113" xfId="6" applyNumberFormat="1" applyFont="1" applyFill="1" applyBorder="1" applyAlignment="1" applyProtection="1">
      <alignment horizontal="center" vertical="center"/>
    </xf>
    <xf numFmtId="0" fontId="27" fillId="0" borderId="12" xfId="3" applyFont="1" applyBorder="1">
      <alignment vertical="center"/>
    </xf>
    <xf numFmtId="0" fontId="27" fillId="0" borderId="13" xfId="3" applyFont="1" applyBorder="1">
      <alignment vertical="center"/>
    </xf>
    <xf numFmtId="0" fontId="30" fillId="0" borderId="12" xfId="3" applyFont="1" applyBorder="1" applyAlignment="1">
      <alignment horizontal="left" vertical="center"/>
    </xf>
    <xf numFmtId="0" fontId="30" fillId="0" borderId="13" xfId="3" applyFont="1" applyBorder="1" applyAlignment="1">
      <alignment horizontal="left" vertical="center"/>
    </xf>
    <xf numFmtId="0" fontId="29" fillId="32" borderId="107" xfId="6" applyNumberFormat="1" applyFont="1" applyFill="1" applyBorder="1" applyAlignment="1" applyProtection="1">
      <alignment horizontal="center" vertical="center"/>
      <protection locked="0"/>
    </xf>
    <xf numFmtId="0" fontId="28" fillId="38" borderId="125" xfId="6" applyNumberFormat="1" applyFont="1" applyFill="1" applyBorder="1" applyAlignment="1" applyProtection="1">
      <alignment horizontal="center" vertical="center"/>
    </xf>
    <xf numFmtId="0" fontId="28" fillId="22" borderId="101" xfId="3" applyFont="1" applyFill="1" applyBorder="1" applyAlignment="1">
      <alignment horizontal="center" vertical="center"/>
    </xf>
    <xf numFmtId="0" fontId="28" fillId="22" borderId="125" xfId="3" applyFont="1" applyFill="1" applyBorder="1" applyAlignment="1">
      <alignment horizontal="center" vertical="center"/>
    </xf>
    <xf numFmtId="0" fontId="28" fillId="22" borderId="113" xfId="3" applyFont="1" applyFill="1" applyBorder="1" applyAlignment="1">
      <alignment horizontal="center" vertical="center"/>
    </xf>
    <xf numFmtId="0" fontId="29" fillId="32" borderId="126" xfId="6" applyNumberFormat="1" applyFont="1" applyFill="1" applyBorder="1" applyAlignment="1" applyProtection="1">
      <alignment horizontal="center" vertical="center"/>
      <protection locked="0"/>
    </xf>
    <xf numFmtId="0" fontId="29" fillId="32" borderId="184" xfId="6" applyNumberFormat="1" applyFont="1" applyFill="1" applyBorder="1" applyAlignment="1" applyProtection="1">
      <alignment horizontal="center" vertical="center"/>
      <protection locked="0"/>
    </xf>
    <xf numFmtId="0" fontId="28" fillId="38" borderId="124" xfId="6" applyNumberFormat="1" applyFont="1" applyFill="1" applyBorder="1" applyAlignment="1" applyProtection="1">
      <alignment horizontal="center" vertical="center"/>
    </xf>
    <xf numFmtId="0" fontId="30" fillId="16" borderId="12" xfId="3" applyFont="1" applyFill="1" applyBorder="1" applyAlignment="1">
      <alignment horizontal="left" vertical="center"/>
    </xf>
    <xf numFmtId="0" fontId="30" fillId="16" borderId="13" xfId="3" applyFont="1" applyFill="1" applyBorder="1" applyAlignment="1">
      <alignment horizontal="left" vertical="center"/>
    </xf>
    <xf numFmtId="0" fontId="28" fillId="22" borderId="114" xfId="3" applyFont="1" applyFill="1" applyBorder="1" applyAlignment="1">
      <alignment horizontal="center" vertical="center"/>
    </xf>
    <xf numFmtId="0" fontId="28" fillId="22" borderId="121" xfId="3" applyFont="1" applyFill="1" applyBorder="1" applyAlignment="1">
      <alignment horizontal="center" vertical="center"/>
    </xf>
    <xf numFmtId="0" fontId="28" fillId="22" borderId="115" xfId="3" applyFont="1" applyFill="1" applyBorder="1" applyAlignment="1">
      <alignment horizontal="center" vertical="center"/>
    </xf>
    <xf numFmtId="0" fontId="28" fillId="17" borderId="101" xfId="3" applyFont="1" applyFill="1" applyBorder="1" applyAlignment="1">
      <alignment horizontal="center" vertical="center"/>
    </xf>
    <xf numFmtId="0" fontId="28" fillId="17" borderId="113" xfId="3" applyFont="1" applyFill="1" applyBorder="1" applyAlignment="1">
      <alignment horizontal="center" vertical="center"/>
    </xf>
    <xf numFmtId="0" fontId="29" fillId="32" borderId="185" xfId="6" applyNumberFormat="1" applyFont="1" applyFill="1" applyBorder="1" applyAlignment="1" applyProtection="1">
      <alignment horizontal="center" vertical="center"/>
      <protection locked="0"/>
    </xf>
    <xf numFmtId="0" fontId="28" fillId="17" borderId="114" xfId="3" applyFont="1" applyFill="1" applyBorder="1" applyAlignment="1">
      <alignment horizontal="center" vertical="center"/>
    </xf>
    <xf numFmtId="0" fontId="28" fillId="17" borderId="115" xfId="3" applyFont="1" applyFill="1" applyBorder="1" applyAlignment="1">
      <alignment horizontal="center" vertical="center"/>
    </xf>
    <xf numFmtId="0" fontId="29" fillId="32" borderId="186" xfId="6" applyNumberFormat="1" applyFont="1" applyFill="1" applyBorder="1" applyAlignment="1" applyProtection="1">
      <alignment horizontal="center" vertical="center"/>
      <protection locked="0"/>
    </xf>
    <xf numFmtId="0" fontId="28" fillId="17" borderId="8" xfId="3" applyFont="1" applyFill="1" applyBorder="1" applyAlignment="1">
      <alignment horizontal="center" vertical="center"/>
    </xf>
    <xf numFmtId="0" fontId="29" fillId="32" borderId="174" xfId="6" applyNumberFormat="1" applyFont="1" applyFill="1" applyBorder="1" applyAlignment="1" applyProtection="1">
      <alignment horizontal="center" vertical="center"/>
      <protection locked="0"/>
    </xf>
    <xf numFmtId="0" fontId="28" fillId="17" borderId="11" xfId="3" applyFont="1" applyFill="1" applyBorder="1" applyAlignment="1">
      <alignment horizontal="center" vertical="center"/>
    </xf>
    <xf numFmtId="0" fontId="28" fillId="17" borderId="131" xfId="3" applyFont="1" applyFill="1" applyBorder="1" applyAlignment="1">
      <alignment horizontal="center" vertical="center"/>
    </xf>
    <xf numFmtId="0" fontId="41" fillId="14" borderId="19" xfId="3" applyFont="1" applyFill="1" applyBorder="1" applyAlignment="1">
      <alignment horizontal="center" vertical="center"/>
    </xf>
    <xf numFmtId="0" fontId="33" fillId="0" borderId="0" xfId="0" applyFont="1" applyAlignment="1">
      <alignment horizontal="left" vertical="top"/>
    </xf>
    <xf numFmtId="0" fontId="25" fillId="0" borderId="0" xfId="3" applyFont="1" applyAlignment="1">
      <alignment horizontal="center" vertical="top" wrapText="1"/>
    </xf>
    <xf numFmtId="0" fontId="27" fillId="0" borderId="0" xfId="3" applyFont="1" applyAlignment="1">
      <alignment horizontal="center" vertical="top" wrapText="1"/>
    </xf>
    <xf numFmtId="0" fontId="27" fillId="42" borderId="0" xfId="6" applyNumberFormat="1" applyFont="1" applyFill="1" applyBorder="1" applyAlignment="1">
      <alignment horizontal="right" vertical="top" wrapText="1"/>
    </xf>
    <xf numFmtId="0" fontId="27" fillId="42" borderId="0" xfId="3" applyFont="1" applyFill="1" applyAlignment="1" applyProtection="1">
      <alignment horizontal="right" vertical="center"/>
      <protection hidden="1"/>
    </xf>
    <xf numFmtId="0" fontId="27" fillId="50" borderId="52" xfId="6" applyNumberFormat="1" applyFont="1" applyFill="1" applyBorder="1" applyAlignment="1">
      <alignment horizontal="left" vertical="top" wrapText="1"/>
    </xf>
    <xf numFmtId="0" fontId="27" fillId="6" borderId="0" xfId="6" applyNumberFormat="1" applyFont="1" applyFill="1" applyBorder="1" applyAlignment="1">
      <alignment horizontal="right" vertical="top" wrapText="1"/>
    </xf>
    <xf numFmtId="0" fontId="27" fillId="6" borderId="0" xfId="3" applyFont="1" applyFill="1" applyAlignment="1" applyProtection="1">
      <alignment horizontal="right" vertical="center"/>
      <protection hidden="1"/>
    </xf>
    <xf numFmtId="179" fontId="75" fillId="6" borderId="0" xfId="5" applyNumberFormat="1" applyFont="1" applyFill="1" applyAlignment="1" applyProtection="1">
      <alignment horizontal="right" vertical="center"/>
      <protection hidden="1"/>
    </xf>
    <xf numFmtId="177" fontId="75" fillId="6" borderId="0" xfId="4" applyFont="1" applyFill="1" applyAlignment="1" applyProtection="1">
      <alignment horizontal="right" vertical="center"/>
      <protection hidden="1"/>
    </xf>
    <xf numFmtId="191" fontId="27" fillId="6" borderId="0" xfId="3" applyNumberFormat="1" applyFont="1" applyFill="1" applyAlignment="1" applyProtection="1">
      <alignment horizontal="right" vertical="center"/>
      <protection hidden="1"/>
    </xf>
    <xf numFmtId="186" fontId="79" fillId="42" borderId="39" xfId="10" applyNumberFormat="1" applyFill="1" applyBorder="1" applyAlignment="1" applyProtection="1">
      <alignment horizontal="center" vertical="center"/>
      <protection locked="0"/>
    </xf>
    <xf numFmtId="186" fontId="79" fillId="28" borderId="39" xfId="10" applyNumberFormat="1" applyFill="1" applyBorder="1" applyAlignment="1" applyProtection="1">
      <alignment horizontal="center" vertical="center"/>
      <protection locked="0"/>
    </xf>
    <xf numFmtId="0" fontId="41" fillId="4" borderId="18" xfId="3" applyFont="1" applyFill="1" applyBorder="1" applyAlignment="1">
      <alignment horizontal="center" vertical="center" wrapText="1"/>
    </xf>
    <xf numFmtId="0" fontId="41" fillId="4" borderId="19" xfId="3" applyFont="1" applyFill="1" applyBorder="1" applyAlignment="1">
      <alignment horizontal="center" vertical="center" wrapText="1"/>
    </xf>
    <xf numFmtId="0" fontId="41" fillId="49" borderId="6" xfId="3" applyFont="1" applyFill="1" applyBorder="1" applyAlignment="1">
      <alignment horizontal="center" vertical="center" wrapText="1"/>
    </xf>
    <xf numFmtId="0" fontId="41" fillId="49" borderId="7" xfId="3" applyFont="1" applyFill="1" applyBorder="1" applyAlignment="1">
      <alignment horizontal="center" vertical="center" wrapText="1"/>
    </xf>
    <xf numFmtId="0" fontId="41" fillId="49" borderId="8" xfId="3" applyFont="1" applyFill="1" applyBorder="1" applyAlignment="1">
      <alignment horizontal="center" vertical="center" wrapText="1"/>
    </xf>
    <xf numFmtId="0" fontId="74" fillId="0" borderId="6" xfId="3" applyFont="1" applyBorder="1" applyAlignment="1" applyProtection="1">
      <alignment horizontal="left" vertical="center" wrapText="1"/>
      <protection locked="0"/>
    </xf>
    <xf numFmtId="0" fontId="74" fillId="0" borderId="7" xfId="3" applyFont="1" applyBorder="1" applyAlignment="1" applyProtection="1">
      <alignment horizontal="left" vertical="center"/>
      <protection locked="0"/>
    </xf>
    <xf numFmtId="0" fontId="74" fillId="0" borderId="8" xfId="3" applyFont="1" applyBorder="1" applyAlignment="1" applyProtection="1">
      <alignment horizontal="left" vertical="center"/>
      <protection locked="0"/>
    </xf>
    <xf numFmtId="0" fontId="74" fillId="0" borderId="12" xfId="3" applyFont="1" applyBorder="1" applyAlignment="1" applyProtection="1">
      <alignment horizontal="left" vertical="center"/>
      <protection locked="0"/>
    </xf>
    <xf numFmtId="0" fontId="74" fillId="0" borderId="0" xfId="3" applyFont="1" applyAlignment="1" applyProtection="1">
      <alignment horizontal="left" vertical="center"/>
      <protection locked="0"/>
    </xf>
    <xf numFmtId="0" fontId="74" fillId="0" borderId="13" xfId="3" applyFont="1" applyBorder="1" applyAlignment="1" applyProtection="1">
      <alignment horizontal="left" vertical="center"/>
      <protection locked="0"/>
    </xf>
    <xf numFmtId="0" fontId="74" fillId="0" borderId="9" xfId="3" applyFont="1" applyBorder="1" applyAlignment="1" applyProtection="1">
      <alignment horizontal="left" vertical="center"/>
      <protection locked="0"/>
    </xf>
    <xf numFmtId="0" fontId="74" fillId="0" borderId="10" xfId="3" applyFont="1" applyBorder="1" applyAlignment="1" applyProtection="1">
      <alignment horizontal="left" vertical="center"/>
      <protection locked="0"/>
    </xf>
    <xf numFmtId="0" fontId="74" fillId="0" borderId="11" xfId="3" applyFont="1" applyBorder="1" applyAlignment="1" applyProtection="1">
      <alignment horizontal="left" vertical="center"/>
      <protection locked="0"/>
    </xf>
    <xf numFmtId="0" fontId="43" fillId="30" borderId="32" xfId="3" applyFont="1" applyFill="1" applyBorder="1" applyAlignment="1">
      <alignment horizontal="center" vertical="center"/>
    </xf>
    <xf numFmtId="0" fontId="43" fillId="30" borderId="0" xfId="3" applyFont="1" applyFill="1" applyAlignment="1">
      <alignment horizontal="center" vertical="center"/>
    </xf>
    <xf numFmtId="0" fontId="55" fillId="44" borderId="72" xfId="0" applyFont="1" applyFill="1" applyBorder="1" applyAlignment="1" applyProtection="1">
      <alignment horizontal="center" vertical="center"/>
      <protection locked="0"/>
    </xf>
    <xf numFmtId="0" fontId="55" fillId="44" borderId="73" xfId="0" applyFont="1" applyFill="1" applyBorder="1" applyAlignment="1" applyProtection="1">
      <alignment horizontal="center" vertical="center"/>
      <protection locked="0"/>
    </xf>
    <xf numFmtId="0" fontId="55" fillId="44" borderId="49" xfId="0" applyFont="1" applyFill="1" applyBorder="1" applyAlignment="1" applyProtection="1">
      <alignment horizontal="center" vertical="center"/>
      <protection locked="0"/>
    </xf>
    <xf numFmtId="0" fontId="43" fillId="43" borderId="32" xfId="3" applyFont="1" applyFill="1" applyBorder="1" applyAlignment="1">
      <alignment horizontal="center" vertical="center"/>
    </xf>
    <xf numFmtId="0" fontId="43" fillId="43" borderId="0" xfId="3" applyFont="1" applyFill="1" applyAlignment="1">
      <alignment horizontal="center" vertical="center"/>
    </xf>
    <xf numFmtId="0" fontId="55" fillId="0" borderId="14" xfId="0" applyFont="1" applyBorder="1" applyAlignment="1" applyProtection="1">
      <alignment horizontal="left" vertical="top" wrapText="1"/>
      <protection locked="0"/>
    </xf>
    <xf numFmtId="0" fontId="55" fillId="0" borderId="20" xfId="0" applyFont="1" applyBorder="1" applyAlignment="1" applyProtection="1">
      <alignment horizontal="left" vertical="top" wrapText="1"/>
      <protection locked="0"/>
    </xf>
    <xf numFmtId="0" fontId="55" fillId="0" borderId="15" xfId="0" applyFont="1" applyBorder="1" applyAlignment="1" applyProtection="1">
      <alignment horizontal="left" vertical="top" wrapText="1"/>
      <protection locked="0"/>
    </xf>
    <xf numFmtId="0" fontId="55" fillId="0" borderId="32" xfId="0" applyFont="1" applyBorder="1" applyAlignment="1" applyProtection="1">
      <alignment horizontal="left" vertical="top" wrapText="1"/>
      <protection locked="0"/>
    </xf>
    <xf numFmtId="0" fontId="55" fillId="0" borderId="0" xfId="0" applyFont="1" applyAlignment="1" applyProtection="1">
      <alignment horizontal="left" vertical="top" wrapText="1"/>
      <protection locked="0"/>
    </xf>
    <xf numFmtId="0" fontId="55" fillId="0" borderId="25" xfId="0" applyFont="1" applyBorder="1" applyAlignment="1" applyProtection="1">
      <alignment horizontal="left" vertical="top" wrapText="1"/>
      <protection locked="0"/>
    </xf>
    <xf numFmtId="0" fontId="55" fillId="0" borderId="22" xfId="0" applyFont="1" applyBorder="1" applyAlignment="1" applyProtection="1">
      <alignment horizontal="left" vertical="top" wrapText="1"/>
      <protection locked="0"/>
    </xf>
    <xf numFmtId="0" fontId="55" fillId="0" borderId="24" xfId="0" applyFont="1" applyBorder="1" applyAlignment="1" applyProtection="1">
      <alignment horizontal="left" vertical="top" wrapText="1"/>
      <protection locked="0"/>
    </xf>
    <xf numFmtId="0" fontId="55" fillId="0" borderId="23" xfId="0" applyFont="1" applyBorder="1" applyAlignment="1" applyProtection="1">
      <alignment horizontal="left" vertical="top" wrapText="1"/>
      <protection locked="0"/>
    </xf>
    <xf numFmtId="0" fontId="28" fillId="31" borderId="0" xfId="3" applyFont="1" applyFill="1" applyAlignment="1">
      <alignment horizontal="center" vertical="center" wrapText="1"/>
    </xf>
    <xf numFmtId="0" fontId="43" fillId="41" borderId="39" xfId="3" applyFont="1" applyFill="1" applyBorder="1" applyAlignment="1">
      <alignment horizontal="center" vertical="center"/>
    </xf>
    <xf numFmtId="0" fontId="43" fillId="41" borderId="72" xfId="3" applyFont="1" applyFill="1" applyBorder="1" applyAlignment="1">
      <alignment horizontal="center" vertical="center"/>
    </xf>
    <xf numFmtId="0" fontId="43" fillId="41" borderId="73" xfId="3" applyFont="1" applyFill="1" applyBorder="1" applyAlignment="1">
      <alignment horizontal="center" vertical="center"/>
    </xf>
    <xf numFmtId="0" fontId="43" fillId="41" borderId="49" xfId="3" applyFont="1" applyFill="1" applyBorder="1" applyAlignment="1">
      <alignment horizontal="center" vertical="center"/>
    </xf>
    <xf numFmtId="0" fontId="28" fillId="14" borderId="0" xfId="3" applyFont="1" applyFill="1" applyAlignment="1">
      <alignment horizontal="center" vertical="center" wrapText="1"/>
    </xf>
    <xf numFmtId="0" fontId="43" fillId="41" borderId="139" xfId="3" applyFont="1" applyFill="1" applyBorder="1" applyAlignment="1">
      <alignment horizontal="center" vertical="center"/>
    </xf>
    <xf numFmtId="0" fontId="43" fillId="41" borderId="140" xfId="3" applyFont="1" applyFill="1" applyBorder="1" applyAlignment="1">
      <alignment horizontal="center" vertical="center"/>
    </xf>
    <xf numFmtId="0" fontId="27" fillId="28" borderId="39" xfId="3" applyFont="1" applyFill="1" applyBorder="1" applyAlignment="1" applyProtection="1">
      <alignment horizontal="left" vertical="top" wrapText="1"/>
      <protection locked="0"/>
    </xf>
    <xf numFmtId="0" fontId="27" fillId="28" borderId="39" xfId="3" applyFont="1" applyFill="1" applyBorder="1" applyAlignment="1" applyProtection="1">
      <alignment horizontal="left" vertical="top"/>
      <protection locked="0"/>
    </xf>
    <xf numFmtId="0" fontId="32" fillId="6" borderId="18" xfId="3" applyFont="1" applyFill="1" applyBorder="1" applyAlignment="1" applyProtection="1">
      <alignment horizontal="center" vertical="center"/>
      <protection hidden="1"/>
    </xf>
    <xf numFmtId="0" fontId="32" fillId="6" borderId="71" xfId="3" applyFont="1" applyFill="1" applyBorder="1" applyAlignment="1" applyProtection="1">
      <alignment horizontal="center" vertical="center"/>
      <protection hidden="1"/>
    </xf>
    <xf numFmtId="0" fontId="32" fillId="6" borderId="19" xfId="3" applyFont="1" applyFill="1" applyBorder="1" applyAlignment="1" applyProtection="1">
      <alignment horizontal="center" vertical="center"/>
      <protection hidden="1"/>
    </xf>
    <xf numFmtId="0" fontId="25" fillId="0" borderId="39" xfId="3" applyFont="1" applyBorder="1" applyAlignment="1">
      <alignment horizontal="center" vertical="center" wrapText="1"/>
    </xf>
    <xf numFmtId="0" fontId="25" fillId="0" borderId="129" xfId="3" applyFont="1" applyBorder="1" applyAlignment="1">
      <alignment horizontal="center" vertical="center" wrapText="1"/>
    </xf>
    <xf numFmtId="0" fontId="25" fillId="0" borderId="128" xfId="3" applyFont="1" applyBorder="1" applyAlignment="1">
      <alignment horizontal="center" vertical="center" wrapText="1"/>
    </xf>
    <xf numFmtId="0" fontId="25" fillId="0" borderId="17" xfId="3" applyFont="1" applyBorder="1" applyAlignment="1">
      <alignment horizontal="center" vertical="center" wrapText="1"/>
    </xf>
    <xf numFmtId="0" fontId="25" fillId="0" borderId="21" xfId="3" applyFont="1" applyBorder="1" applyAlignment="1">
      <alignment horizontal="center" vertical="center" wrapText="1"/>
    </xf>
    <xf numFmtId="0" fontId="25" fillId="0" borderId="68" xfId="3" applyFont="1" applyBorder="1" applyAlignment="1">
      <alignment horizontal="center" vertical="center" wrapText="1"/>
    </xf>
    <xf numFmtId="0" fontId="25" fillId="0" borderId="60" xfId="3" applyFont="1" applyBorder="1" applyAlignment="1">
      <alignment horizontal="center" vertical="center" wrapText="1"/>
    </xf>
    <xf numFmtId="0" fontId="25" fillId="0" borderId="72" xfId="3" applyFont="1" applyBorder="1" applyAlignment="1">
      <alignment horizontal="center" vertical="center"/>
    </xf>
    <xf numFmtId="0" fontId="25" fillId="0" borderId="73" xfId="3" applyFont="1" applyBorder="1" applyAlignment="1">
      <alignment horizontal="center" vertical="center"/>
    </xf>
    <xf numFmtId="0" fontId="25" fillId="0" borderId="49" xfId="3" applyFont="1" applyBorder="1" applyAlignment="1">
      <alignment horizontal="center" vertical="center"/>
    </xf>
    <xf numFmtId="0" fontId="43" fillId="41" borderId="141" xfId="3" applyFont="1" applyFill="1" applyBorder="1" applyAlignment="1">
      <alignment horizontal="center" vertical="center"/>
    </xf>
    <xf numFmtId="0" fontId="25" fillId="0" borderId="130" xfId="3" applyFont="1" applyBorder="1" applyAlignment="1">
      <alignment horizontal="center" vertical="center" wrapText="1"/>
    </xf>
    <xf numFmtId="0" fontId="25" fillId="0" borderId="94" xfId="3" applyFont="1" applyBorder="1" applyAlignment="1">
      <alignment horizontal="center" vertical="center" wrapText="1"/>
    </xf>
    <xf numFmtId="0" fontId="42" fillId="40" borderId="7" xfId="3" applyFont="1" applyFill="1" applyBorder="1" applyAlignment="1" applyProtection="1">
      <alignment horizontal="center" vertical="center" wrapText="1"/>
      <protection hidden="1"/>
    </xf>
    <xf numFmtId="0" fontId="42" fillId="40" borderId="74" xfId="3" applyFont="1" applyFill="1" applyBorder="1" applyAlignment="1" applyProtection="1">
      <alignment horizontal="center" vertical="center" wrapText="1"/>
      <protection hidden="1"/>
    </xf>
    <xf numFmtId="0" fontId="42" fillId="40" borderId="8" xfId="3" applyFont="1" applyFill="1" applyBorder="1" applyAlignment="1" applyProtection="1">
      <alignment horizontal="center" vertical="center" wrapText="1"/>
      <protection hidden="1"/>
    </xf>
    <xf numFmtId="0" fontId="42" fillId="40" borderId="106" xfId="3" applyFont="1" applyFill="1" applyBorder="1" applyAlignment="1" applyProtection="1">
      <alignment horizontal="center" vertical="center" wrapText="1"/>
      <protection hidden="1"/>
    </xf>
    <xf numFmtId="0" fontId="26" fillId="6" borderId="6" xfId="3" applyFont="1" applyFill="1" applyBorder="1" applyAlignment="1" applyProtection="1">
      <alignment horizontal="center" vertical="center" wrapText="1"/>
      <protection hidden="1"/>
    </xf>
    <xf numFmtId="0" fontId="26" fillId="6" borderId="105" xfId="3" applyFont="1" applyFill="1" applyBorder="1" applyAlignment="1" applyProtection="1">
      <alignment horizontal="center" vertical="center" wrapText="1"/>
      <protection hidden="1"/>
    </xf>
    <xf numFmtId="0" fontId="31" fillId="29" borderId="0" xfId="3" applyFont="1" applyFill="1" applyAlignment="1">
      <alignment horizontal="center" vertical="center" wrapText="1"/>
    </xf>
    <xf numFmtId="0" fontId="31" fillId="29" borderId="74" xfId="3" applyFont="1" applyFill="1" applyBorder="1" applyAlignment="1">
      <alignment horizontal="center" vertical="center" wrapText="1"/>
    </xf>
    <xf numFmtId="179" fontId="25" fillId="15" borderId="55" xfId="5" applyNumberFormat="1" applyFont="1" applyFill="1" applyBorder="1" applyAlignment="1" applyProtection="1">
      <alignment horizontal="center" vertical="center"/>
      <protection hidden="1"/>
    </xf>
    <xf numFmtId="179" fontId="25" fillId="15" borderId="68" xfId="5" applyNumberFormat="1" applyFont="1" applyFill="1" applyBorder="1" applyAlignment="1" applyProtection="1">
      <alignment horizontal="center" vertical="center"/>
      <protection hidden="1"/>
    </xf>
    <xf numFmtId="179" fontId="25" fillId="15" borderId="60" xfId="5" applyNumberFormat="1" applyFont="1" applyFill="1" applyBorder="1" applyAlignment="1" applyProtection="1">
      <alignment horizontal="center" vertical="center"/>
      <protection hidden="1"/>
    </xf>
    <xf numFmtId="0" fontId="43" fillId="30" borderId="39" xfId="3" applyFont="1" applyFill="1" applyBorder="1" applyAlignment="1">
      <alignment horizontal="center" vertical="center" wrapText="1"/>
    </xf>
    <xf numFmtId="0" fontId="27" fillId="0" borderId="14" xfId="3" applyFont="1" applyBorder="1" applyAlignment="1">
      <alignment horizontal="center" vertical="center" wrapText="1"/>
    </xf>
    <xf numFmtId="0" fontId="27" fillId="0" borderId="15" xfId="3" applyFont="1" applyBorder="1" applyAlignment="1">
      <alignment horizontal="center" vertical="center" wrapText="1"/>
    </xf>
    <xf numFmtId="0" fontId="27" fillId="0" borderId="22" xfId="3" applyFont="1" applyBorder="1" applyAlignment="1">
      <alignment horizontal="center" vertical="center" wrapText="1"/>
    </xf>
    <xf numFmtId="0" fontId="27" fillId="0" borderId="23" xfId="3" applyFont="1" applyBorder="1" applyAlignment="1">
      <alignment horizontal="center" vertical="center" wrapText="1"/>
    </xf>
    <xf numFmtId="6" fontId="26" fillId="28" borderId="55" xfId="3" applyNumberFormat="1" applyFont="1" applyFill="1" applyBorder="1" applyAlignment="1" applyProtection="1">
      <alignment horizontal="center" vertical="center"/>
      <protection locked="0"/>
    </xf>
    <xf numFmtId="6" fontId="26" fillId="28" borderId="68" xfId="3" applyNumberFormat="1" applyFont="1" applyFill="1" applyBorder="1" applyAlignment="1" applyProtection="1">
      <alignment horizontal="center" vertical="center"/>
      <protection locked="0"/>
    </xf>
    <xf numFmtId="6" fontId="26" fillId="28" borderId="60" xfId="3" applyNumberFormat="1" applyFont="1" applyFill="1" applyBorder="1" applyAlignment="1" applyProtection="1">
      <alignment horizontal="center" vertical="center"/>
      <protection locked="0"/>
    </xf>
    <xf numFmtId="0" fontId="43" fillId="30" borderId="16" xfId="3" applyFont="1" applyFill="1" applyBorder="1" applyAlignment="1">
      <alignment horizontal="center" vertical="center" wrapText="1"/>
    </xf>
    <xf numFmtId="0" fontId="43" fillId="30" borderId="17" xfId="3" applyFont="1" applyFill="1" applyBorder="1" applyAlignment="1">
      <alignment horizontal="center" vertical="center" wrapText="1"/>
    </xf>
    <xf numFmtId="0" fontId="43" fillId="30" borderId="21" xfId="3" applyFont="1" applyFill="1" applyBorder="1" applyAlignment="1">
      <alignment horizontal="center" vertical="center" wrapText="1"/>
    </xf>
    <xf numFmtId="0" fontId="43" fillId="27" borderId="0" xfId="3" applyFont="1" applyFill="1" applyAlignment="1">
      <alignment horizontal="center" vertical="center" wrapText="1"/>
    </xf>
    <xf numFmtId="0" fontId="43" fillId="27" borderId="74" xfId="3" applyFont="1" applyFill="1" applyBorder="1" applyAlignment="1">
      <alignment horizontal="center" vertical="center" wrapText="1"/>
    </xf>
    <xf numFmtId="0" fontId="43" fillId="27" borderId="0" xfId="3" applyFont="1" applyFill="1" applyAlignment="1">
      <alignment horizontal="center" vertical="center"/>
    </xf>
    <xf numFmtId="0" fontId="43" fillId="27" borderId="74" xfId="3" applyFont="1" applyFill="1" applyBorder="1" applyAlignment="1">
      <alignment horizontal="center" vertical="center"/>
    </xf>
    <xf numFmtId="0" fontId="25" fillId="21" borderId="39" xfId="3" applyFont="1" applyFill="1" applyBorder="1" applyAlignment="1">
      <alignment horizontal="center" vertical="center" wrapText="1"/>
    </xf>
    <xf numFmtId="0" fontId="25" fillId="0" borderId="72" xfId="3" applyFont="1" applyBorder="1" applyAlignment="1">
      <alignment horizontal="center" vertical="center" wrapText="1"/>
    </xf>
    <xf numFmtId="0" fontId="25" fillId="0" borderId="73" xfId="3" applyFont="1" applyBorder="1" applyAlignment="1">
      <alignment horizontal="center" vertical="center" wrapText="1"/>
    </xf>
    <xf numFmtId="0" fontId="25" fillId="0" borderId="49" xfId="3" applyFont="1" applyBorder="1" applyAlignment="1">
      <alignment horizontal="center" vertical="center" wrapText="1"/>
    </xf>
    <xf numFmtId="0" fontId="25" fillId="0" borderId="16" xfId="3" applyFont="1" applyBorder="1" applyAlignment="1">
      <alignment horizontal="center" vertical="center" wrapText="1"/>
    </xf>
    <xf numFmtId="0" fontId="43" fillId="41" borderId="143" xfId="3" applyFont="1" applyFill="1" applyBorder="1" applyAlignment="1">
      <alignment horizontal="center" vertical="center"/>
    </xf>
    <xf numFmtId="0" fontId="43" fillId="41" borderId="144" xfId="3" applyFont="1" applyFill="1" applyBorder="1" applyAlignment="1">
      <alignment horizontal="center" vertical="center"/>
    </xf>
    <xf numFmtId="0" fontId="43" fillId="41" borderId="145" xfId="3" applyFont="1" applyFill="1" applyBorder="1" applyAlignment="1">
      <alignment horizontal="center" vertical="center"/>
    </xf>
    <xf numFmtId="0" fontId="27" fillId="28" borderId="14" xfId="3" applyFont="1" applyFill="1" applyBorder="1" applyAlignment="1" applyProtection="1">
      <alignment horizontal="left" vertical="top"/>
      <protection locked="0"/>
    </xf>
    <xf numFmtId="0" fontId="27" fillId="28" borderId="20" xfId="3" applyFont="1" applyFill="1" applyBorder="1" applyAlignment="1" applyProtection="1">
      <alignment horizontal="left" vertical="top"/>
      <protection locked="0"/>
    </xf>
    <xf numFmtId="0" fontId="27" fillId="28" borderId="15" xfId="3" applyFont="1" applyFill="1" applyBorder="1" applyAlignment="1" applyProtection="1">
      <alignment horizontal="left" vertical="top"/>
      <protection locked="0"/>
    </xf>
    <xf numFmtId="0" fontId="27" fillId="28" borderId="32" xfId="3" applyFont="1" applyFill="1" applyBorder="1" applyAlignment="1" applyProtection="1">
      <alignment horizontal="left" vertical="top"/>
      <protection locked="0"/>
    </xf>
    <xf numFmtId="0" fontId="27" fillId="28" borderId="0" xfId="3" applyFont="1" applyFill="1" applyAlignment="1" applyProtection="1">
      <alignment horizontal="left" vertical="top"/>
      <protection locked="0"/>
    </xf>
    <xf numFmtId="0" fontId="27" fillId="28" borderId="25" xfId="3" applyFont="1" applyFill="1" applyBorder="1" applyAlignment="1" applyProtection="1">
      <alignment horizontal="left" vertical="top"/>
      <protection locked="0"/>
    </xf>
    <xf numFmtId="0" fontId="27" fillId="28" borderId="22" xfId="3" applyFont="1" applyFill="1" applyBorder="1" applyAlignment="1" applyProtection="1">
      <alignment horizontal="left" vertical="top"/>
      <protection locked="0"/>
    </xf>
    <xf numFmtId="0" fontId="27" fillId="28" borderId="24" xfId="3" applyFont="1" applyFill="1" applyBorder="1" applyAlignment="1" applyProtection="1">
      <alignment horizontal="left" vertical="top"/>
      <protection locked="0"/>
    </xf>
    <xf numFmtId="0" fontId="27" fillId="28" borderId="23" xfId="3" applyFont="1" applyFill="1" applyBorder="1" applyAlignment="1" applyProtection="1">
      <alignment horizontal="left" vertical="top"/>
      <protection locked="0"/>
    </xf>
    <xf numFmtId="0" fontId="28" fillId="31" borderId="50" xfId="3" applyFont="1" applyFill="1" applyBorder="1" applyAlignment="1">
      <alignment horizontal="center" vertical="center" wrapText="1"/>
    </xf>
    <xf numFmtId="0" fontId="27" fillId="19" borderId="134" xfId="6" applyNumberFormat="1" applyFont="1" applyFill="1" applyBorder="1" applyAlignment="1">
      <alignment horizontal="center" vertical="center"/>
    </xf>
    <xf numFmtId="0" fontId="27" fillId="19" borderId="135" xfId="6" applyNumberFormat="1" applyFont="1" applyFill="1" applyBorder="1" applyAlignment="1">
      <alignment horizontal="center" vertical="center"/>
    </xf>
    <xf numFmtId="0" fontId="27" fillId="19" borderId="136" xfId="6" applyNumberFormat="1" applyFont="1" applyFill="1" applyBorder="1" applyAlignment="1">
      <alignment horizontal="center" vertical="center"/>
    </xf>
    <xf numFmtId="0" fontId="27" fillId="48" borderId="14" xfId="3" applyFont="1" applyFill="1" applyBorder="1" applyAlignment="1" applyProtection="1">
      <alignment horizontal="left" vertical="top"/>
      <protection locked="0"/>
    </xf>
    <xf numFmtId="0" fontId="27" fillId="48" borderId="20" xfId="3" applyFont="1" applyFill="1" applyBorder="1" applyAlignment="1" applyProtection="1">
      <alignment horizontal="left" vertical="top"/>
      <protection locked="0"/>
    </xf>
    <xf numFmtId="0" fontId="27" fillId="48" borderId="15" xfId="3" applyFont="1" applyFill="1" applyBorder="1" applyAlignment="1" applyProtection="1">
      <alignment horizontal="left" vertical="top"/>
      <protection locked="0"/>
    </xf>
    <xf numFmtId="0" fontId="27" fillId="48" borderId="22" xfId="3" applyFont="1" applyFill="1" applyBorder="1" applyAlignment="1" applyProtection="1">
      <alignment horizontal="left" vertical="top"/>
      <protection locked="0"/>
    </xf>
    <xf numFmtId="0" fontId="27" fillId="48" borderId="24" xfId="3" applyFont="1" applyFill="1" applyBorder="1" applyAlignment="1" applyProtection="1">
      <alignment horizontal="left" vertical="top"/>
      <protection locked="0"/>
    </xf>
    <xf numFmtId="0" fontId="27" fillId="48" borderId="23" xfId="3" applyFont="1" applyFill="1" applyBorder="1" applyAlignment="1" applyProtection="1">
      <alignment horizontal="left" vertical="top"/>
      <protection locked="0"/>
    </xf>
    <xf numFmtId="0" fontId="43" fillId="41" borderId="126" xfId="3" applyFont="1" applyFill="1" applyBorder="1" applyAlignment="1">
      <alignment horizontal="center" vertical="center"/>
    </xf>
    <xf numFmtId="0" fontId="43" fillId="41" borderId="127" xfId="3" applyFont="1" applyFill="1" applyBorder="1" applyAlignment="1">
      <alignment horizontal="center" vertical="center"/>
    </xf>
    <xf numFmtId="0" fontId="27" fillId="28" borderId="16" xfId="3" applyFont="1" applyFill="1" applyBorder="1" applyAlignment="1" applyProtection="1">
      <alignment horizontal="left" vertical="top"/>
      <protection locked="0"/>
    </xf>
    <xf numFmtId="0" fontId="27" fillId="28" borderId="17" xfId="3" applyFont="1" applyFill="1" applyBorder="1" applyAlignment="1" applyProtection="1">
      <alignment horizontal="left" vertical="top"/>
      <protection locked="0"/>
    </xf>
    <xf numFmtId="0" fontId="27" fillId="28" borderId="21" xfId="3" applyFont="1" applyFill="1" applyBorder="1" applyAlignment="1" applyProtection="1">
      <alignment horizontal="left" vertical="top"/>
      <protection locked="0"/>
    </xf>
    <xf numFmtId="0" fontId="43" fillId="41" borderId="6" xfId="3" applyFont="1" applyFill="1" applyBorder="1" applyAlignment="1">
      <alignment horizontal="center" vertical="center"/>
    </xf>
    <xf numFmtId="0" fontId="43" fillId="41" borderId="9" xfId="3" applyFont="1" applyFill="1" applyBorder="1" applyAlignment="1">
      <alignment horizontal="center" vertical="center"/>
    </xf>
    <xf numFmtId="0" fontId="54" fillId="0" borderId="0" xfId="0" applyFont="1" applyAlignment="1" applyProtection="1">
      <alignment horizontal="left" vertical="top" wrapText="1"/>
      <protection hidden="1"/>
    </xf>
    <xf numFmtId="0" fontId="54" fillId="0" borderId="0" xfId="0" applyFont="1" applyAlignment="1">
      <alignment horizontal="left" vertical="top" wrapText="1"/>
    </xf>
    <xf numFmtId="0" fontId="58" fillId="0" borderId="0" xfId="0" applyFont="1" applyAlignment="1">
      <alignment horizontal="center" wrapText="1"/>
    </xf>
    <xf numFmtId="0" fontId="58" fillId="0" borderId="0" xfId="0" applyFont="1" applyAlignment="1">
      <alignment horizontal="center" vertical="top" wrapText="1"/>
    </xf>
    <xf numFmtId="0" fontId="15" fillId="4" borderId="6" xfId="3" applyFont="1" applyFill="1" applyBorder="1" applyAlignment="1">
      <alignment horizontal="center" vertical="center"/>
    </xf>
    <xf numFmtId="0" fontId="15" fillId="4" borderId="153" xfId="3" applyFont="1" applyFill="1" applyBorder="1" applyAlignment="1">
      <alignment horizontal="center" vertical="center"/>
    </xf>
    <xf numFmtId="0" fontId="15" fillId="4" borderId="12" xfId="3" applyFont="1" applyFill="1" applyBorder="1" applyAlignment="1">
      <alignment horizontal="center" vertical="center"/>
    </xf>
    <xf numFmtId="0" fontId="15" fillId="4" borderId="25" xfId="3" applyFont="1" applyFill="1" applyBorder="1" applyAlignment="1">
      <alignment horizontal="center" vertical="center"/>
    </xf>
    <xf numFmtId="0" fontId="18" fillId="8" borderId="142" xfId="3" applyFont="1" applyFill="1" applyBorder="1" applyAlignment="1">
      <alignment horizontal="center" vertical="center" wrapText="1"/>
    </xf>
    <xf numFmtId="0" fontId="18" fillId="8" borderId="20" xfId="3" applyFont="1" applyFill="1" applyBorder="1" applyAlignment="1">
      <alignment horizontal="center" vertical="center" wrapText="1"/>
    </xf>
    <xf numFmtId="0" fontId="18" fillId="8" borderId="12" xfId="3" applyFont="1" applyFill="1" applyBorder="1" applyAlignment="1">
      <alignment horizontal="center" vertical="center" wrapText="1"/>
    </xf>
    <xf numFmtId="0" fontId="18" fillId="8" borderId="0" xfId="3" applyFont="1" applyFill="1" applyAlignment="1">
      <alignment horizontal="center" vertical="center" wrapText="1"/>
    </xf>
    <xf numFmtId="0" fontId="18" fillId="8" borderId="9" xfId="3" applyFont="1" applyFill="1" applyBorder="1" applyAlignment="1">
      <alignment horizontal="center" vertical="center" wrapText="1"/>
    </xf>
    <xf numFmtId="0" fontId="18" fillId="8" borderId="10" xfId="3" applyFont="1" applyFill="1" applyBorder="1" applyAlignment="1">
      <alignment horizontal="center" vertical="center" wrapText="1"/>
    </xf>
    <xf numFmtId="0" fontId="11" fillId="9" borderId="20" xfId="3" applyFont="1" applyFill="1" applyBorder="1" applyAlignment="1">
      <alignment horizontal="left" vertical="center" wrapText="1"/>
    </xf>
    <xf numFmtId="0" fontId="11" fillId="9" borderId="159" xfId="3" applyFont="1" applyFill="1" applyBorder="1" applyAlignment="1">
      <alignment horizontal="left" vertical="center" wrapText="1"/>
    </xf>
    <xf numFmtId="0" fontId="11" fillId="9" borderId="0" xfId="3" applyFont="1" applyFill="1" applyAlignment="1">
      <alignment horizontal="left" vertical="center" wrapText="1"/>
    </xf>
    <xf numFmtId="0" fontId="11" fillId="9" borderId="13" xfId="3" applyFont="1" applyFill="1" applyBorder="1" applyAlignment="1">
      <alignment horizontal="left" vertical="center" wrapText="1"/>
    </xf>
    <xf numFmtId="0" fontId="11" fillId="9" borderId="10" xfId="3" applyFont="1" applyFill="1" applyBorder="1" applyAlignment="1">
      <alignment horizontal="left" vertical="center" wrapText="1"/>
    </xf>
    <xf numFmtId="0" fontId="11" fillId="9" borderId="11" xfId="3" applyFont="1" applyFill="1" applyBorder="1" applyAlignment="1">
      <alignment horizontal="left" vertical="center" wrapText="1"/>
    </xf>
    <xf numFmtId="0" fontId="11" fillId="0" borderId="154" xfId="3" applyFont="1" applyBorder="1" applyAlignment="1">
      <alignment horizontal="center" vertical="center"/>
    </xf>
    <xf numFmtId="0" fontId="11" fillId="0" borderId="157" xfId="3" applyFont="1" applyBorder="1" applyAlignment="1">
      <alignment horizontal="center" vertical="center"/>
    </xf>
    <xf numFmtId="0" fontId="11" fillId="0" borderId="24" xfId="3" applyFont="1" applyBorder="1" applyAlignment="1">
      <alignment horizontal="center" vertical="center"/>
    </xf>
    <xf numFmtId="0" fontId="11" fillId="0" borderId="158" xfId="3" applyFont="1" applyBorder="1" applyAlignment="1">
      <alignment horizontal="center" vertical="center"/>
    </xf>
    <xf numFmtId="0" fontId="11" fillId="0" borderId="14" xfId="3" applyFont="1" applyBorder="1" applyAlignment="1">
      <alignment horizontal="center" vertical="center"/>
    </xf>
    <xf numFmtId="0" fontId="11" fillId="0" borderId="15" xfId="3" applyFont="1" applyBorder="1" applyAlignment="1">
      <alignment horizontal="center" vertical="center"/>
    </xf>
    <xf numFmtId="0" fontId="11" fillId="0" borderId="32" xfId="3" applyFont="1" applyBorder="1" applyAlignment="1">
      <alignment horizontal="center" vertical="center"/>
    </xf>
    <xf numFmtId="0" fontId="11" fillId="0" borderId="25" xfId="3" applyFont="1" applyBorder="1" applyAlignment="1">
      <alignment horizontal="center" vertical="center"/>
    </xf>
    <xf numFmtId="0" fontId="11" fillId="0" borderId="22" xfId="3" applyFont="1" applyBorder="1" applyAlignment="1">
      <alignment horizontal="center" vertical="center"/>
    </xf>
    <xf numFmtId="0" fontId="11" fillId="0" borderId="23" xfId="3" applyFont="1" applyBorder="1" applyAlignment="1">
      <alignment horizontal="center" vertical="center"/>
    </xf>
    <xf numFmtId="176" fontId="68" fillId="0" borderId="150" xfId="1" applyNumberFormat="1" applyFont="1" applyBorder="1" applyAlignment="1" applyProtection="1">
      <alignment horizontal="center" vertical="center"/>
      <protection hidden="1"/>
    </xf>
    <xf numFmtId="176" fontId="68" fillId="0" borderId="169" xfId="1" applyNumberFormat="1" applyFont="1" applyBorder="1" applyAlignment="1" applyProtection="1">
      <alignment horizontal="center" vertical="center"/>
      <protection hidden="1"/>
    </xf>
    <xf numFmtId="176" fontId="52" fillId="0" borderId="148" xfId="3" applyNumberFormat="1" applyFont="1" applyBorder="1" applyAlignment="1" applyProtection="1">
      <alignment horizontal="center" vertical="center"/>
      <protection hidden="1"/>
    </xf>
    <xf numFmtId="176" fontId="52" fillId="0" borderId="168" xfId="3" applyNumberFormat="1" applyFont="1" applyBorder="1" applyAlignment="1" applyProtection="1">
      <alignment horizontal="center" vertical="center"/>
      <protection hidden="1"/>
    </xf>
    <xf numFmtId="9" fontId="68" fillId="0" borderId="150" xfId="1" applyNumberFormat="1" applyFont="1" applyBorder="1" applyAlignment="1" applyProtection="1">
      <alignment horizontal="right" vertical="center"/>
      <protection hidden="1"/>
    </xf>
    <xf numFmtId="9" fontId="68" fillId="0" borderId="169" xfId="1" applyNumberFormat="1" applyFont="1" applyBorder="1" applyAlignment="1" applyProtection="1">
      <alignment horizontal="right" vertical="center"/>
      <protection hidden="1"/>
    </xf>
    <xf numFmtId="0" fontId="15" fillId="4" borderId="9" xfId="3" applyFont="1" applyFill="1" applyBorder="1" applyAlignment="1">
      <alignment horizontal="center" vertical="center"/>
    </xf>
    <xf numFmtId="0" fontId="15" fillId="4" borderId="180" xfId="3" applyFont="1" applyFill="1" applyBorder="1" applyAlignment="1">
      <alignment horizontal="center" vertical="center"/>
    </xf>
    <xf numFmtId="0" fontId="11" fillId="0" borderId="20" xfId="3" applyFont="1" applyBorder="1" applyAlignment="1">
      <alignment horizontal="center" vertical="center"/>
    </xf>
    <xf numFmtId="0" fontId="11" fillId="0" borderId="0" xfId="3" applyFont="1" applyAlignment="1">
      <alignment horizontal="center" vertical="center"/>
    </xf>
    <xf numFmtId="0" fontId="11" fillId="0" borderId="37" xfId="3" applyFont="1" applyBorder="1" applyAlignment="1">
      <alignment horizontal="center" vertical="center"/>
    </xf>
    <xf numFmtId="0" fontId="11" fillId="0" borderId="27" xfId="3" applyFont="1" applyBorder="1" applyAlignment="1">
      <alignment horizontal="center" vertical="center"/>
    </xf>
    <xf numFmtId="0" fontId="76" fillId="0" borderId="0" xfId="0" applyFont="1" applyAlignment="1" applyProtection="1">
      <alignment horizontal="center" vertical="center"/>
      <protection locked="0"/>
    </xf>
    <xf numFmtId="0" fontId="18" fillId="8" borderId="15" xfId="3" applyFont="1" applyFill="1" applyBorder="1" applyAlignment="1">
      <alignment horizontal="center" vertical="center" wrapText="1"/>
    </xf>
    <xf numFmtId="0" fontId="18" fillId="8" borderId="25" xfId="3" applyFont="1" applyFill="1" applyBorder="1" applyAlignment="1">
      <alignment horizontal="center" vertical="center" wrapText="1"/>
    </xf>
    <xf numFmtId="0" fontId="18" fillId="8" borderId="180" xfId="3" applyFont="1" applyFill="1" applyBorder="1" applyAlignment="1">
      <alignment horizontal="center" vertical="center" wrapText="1"/>
    </xf>
    <xf numFmtId="0" fontId="11" fillId="9" borderId="14" xfId="3" applyFont="1" applyFill="1" applyBorder="1" applyAlignment="1">
      <alignment horizontal="left" vertical="center" wrapText="1"/>
    </xf>
    <xf numFmtId="0" fontId="11" fillId="9" borderId="32" xfId="3" applyFont="1" applyFill="1" applyBorder="1" applyAlignment="1">
      <alignment horizontal="left" vertical="center" wrapText="1"/>
    </xf>
    <xf numFmtId="0" fontId="11" fillId="9" borderId="181" xfId="3" applyFont="1" applyFill="1" applyBorder="1" applyAlignment="1">
      <alignment horizontal="left" vertical="center" wrapText="1"/>
    </xf>
    <xf numFmtId="0" fontId="18" fillId="8" borderId="173" xfId="3" applyFont="1" applyFill="1" applyBorder="1" applyAlignment="1">
      <alignment horizontal="center" vertical="center" wrapText="1"/>
    </xf>
    <xf numFmtId="0" fontId="18" fillId="8" borderId="16" xfId="3" applyFont="1" applyFill="1" applyBorder="1" applyAlignment="1">
      <alignment horizontal="center" vertical="center" wrapText="1"/>
    </xf>
    <xf numFmtId="0" fontId="18" fillId="8" borderId="174" xfId="3" applyFont="1" applyFill="1" applyBorder="1" applyAlignment="1">
      <alignment horizontal="center" vertical="center" wrapText="1"/>
    </xf>
    <xf numFmtId="0" fontId="18" fillId="8" borderId="175" xfId="3" applyFont="1" applyFill="1" applyBorder="1" applyAlignment="1">
      <alignment horizontal="center" vertical="center" wrapText="1"/>
    </xf>
    <xf numFmtId="0" fontId="11" fillId="9" borderId="21" xfId="3" applyFont="1" applyFill="1" applyBorder="1" applyAlignment="1">
      <alignment horizontal="left" vertical="center" wrapText="1"/>
    </xf>
    <xf numFmtId="0" fontId="11" fillId="9" borderId="39" xfId="3" applyFont="1" applyFill="1" applyBorder="1" applyAlignment="1">
      <alignment horizontal="left" vertical="center" wrapText="1"/>
    </xf>
    <xf numFmtId="0" fontId="11" fillId="9" borderId="163" xfId="3" applyFont="1" applyFill="1" applyBorder="1" applyAlignment="1">
      <alignment horizontal="left" vertical="center" wrapText="1"/>
    </xf>
    <xf numFmtId="0" fontId="65" fillId="9" borderId="21" xfId="3" applyFont="1" applyFill="1" applyBorder="1" applyAlignment="1">
      <alignment horizontal="left" vertical="center" wrapText="1"/>
    </xf>
    <xf numFmtId="0" fontId="65" fillId="9" borderId="39" xfId="3" applyFont="1" applyFill="1" applyBorder="1" applyAlignment="1">
      <alignment horizontal="left" vertical="center" wrapText="1"/>
    </xf>
    <xf numFmtId="0" fontId="65" fillId="9" borderId="163" xfId="3" applyFont="1" applyFill="1" applyBorder="1" applyAlignment="1">
      <alignment horizontal="left" vertical="center" wrapText="1"/>
    </xf>
    <xf numFmtId="0" fontId="65" fillId="9" borderId="176" xfId="3" applyFont="1" applyFill="1" applyBorder="1" applyAlignment="1">
      <alignment horizontal="left" vertical="center" wrapText="1"/>
    </xf>
    <xf numFmtId="0" fontId="65" fillId="9" borderId="177" xfId="3" applyFont="1" applyFill="1" applyBorder="1" applyAlignment="1">
      <alignment horizontal="left" vertical="center" wrapText="1"/>
    </xf>
    <xf numFmtId="0" fontId="65" fillId="9" borderId="178" xfId="3" applyFont="1" applyFill="1" applyBorder="1" applyAlignment="1">
      <alignment horizontal="left" vertical="center" wrapText="1"/>
    </xf>
    <xf numFmtId="0" fontId="15" fillId="4" borderId="164" xfId="3" applyFont="1" applyFill="1" applyBorder="1" applyAlignment="1">
      <alignment horizontal="center" vertical="center"/>
    </xf>
    <xf numFmtId="0" fontId="15" fillId="4" borderId="23" xfId="3" applyFont="1" applyFill="1" applyBorder="1" applyAlignment="1">
      <alignment horizontal="center" vertical="center"/>
    </xf>
    <xf numFmtId="0" fontId="15" fillId="4" borderId="7" xfId="3" applyFont="1" applyFill="1" applyBorder="1" applyAlignment="1">
      <alignment horizontal="center" vertical="center"/>
    </xf>
    <xf numFmtId="0" fontId="15" fillId="4" borderId="0" xfId="3" applyFont="1" applyFill="1" applyAlignment="1">
      <alignment horizontal="center" vertical="center"/>
    </xf>
    <xf numFmtId="0" fontId="11" fillId="9" borderId="21" xfId="3" applyFont="1" applyFill="1" applyBorder="1" applyAlignment="1" applyProtection="1">
      <alignment horizontal="left" vertical="center" wrapText="1"/>
      <protection locked="0"/>
    </xf>
    <xf numFmtId="0" fontId="11" fillId="9" borderId="39" xfId="3" applyFont="1" applyFill="1" applyBorder="1" applyAlignment="1" applyProtection="1">
      <alignment horizontal="left" vertical="center" wrapText="1"/>
      <protection locked="0"/>
    </xf>
    <xf numFmtId="0" fontId="11" fillId="9" borderId="163" xfId="3" applyFont="1" applyFill="1" applyBorder="1" applyAlignment="1" applyProtection="1">
      <alignment horizontal="left" vertical="center" wrapText="1"/>
      <protection locked="0"/>
    </xf>
    <xf numFmtId="0" fontId="65" fillId="9" borderId="21" xfId="3" applyFont="1" applyFill="1" applyBorder="1" applyAlignment="1" applyProtection="1">
      <alignment horizontal="left" vertical="center" wrapText="1"/>
      <protection locked="0"/>
    </xf>
    <xf numFmtId="0" fontId="65" fillId="9" borderId="39" xfId="3" applyFont="1" applyFill="1" applyBorder="1" applyAlignment="1" applyProtection="1">
      <alignment horizontal="left" vertical="center" wrapText="1"/>
      <protection locked="0"/>
    </xf>
    <xf numFmtId="0" fontId="65" fillId="9" borderId="163" xfId="3" applyFont="1" applyFill="1" applyBorder="1" applyAlignment="1" applyProtection="1">
      <alignment horizontal="left" vertical="center" wrapText="1"/>
      <protection locked="0"/>
    </xf>
    <xf numFmtId="0" fontId="65" fillId="9" borderId="176" xfId="3" applyFont="1" applyFill="1" applyBorder="1" applyAlignment="1" applyProtection="1">
      <alignment horizontal="left" vertical="center" wrapText="1"/>
      <protection locked="0"/>
    </xf>
    <xf numFmtId="0" fontId="65" fillId="9" borderId="177" xfId="3" applyFont="1" applyFill="1" applyBorder="1" applyAlignment="1" applyProtection="1">
      <alignment horizontal="left" vertical="center" wrapText="1"/>
      <protection locked="0"/>
    </xf>
    <xf numFmtId="0" fontId="65" fillId="9" borderId="178" xfId="3" applyFont="1" applyFill="1" applyBorder="1" applyAlignment="1" applyProtection="1">
      <alignment horizontal="left" vertical="center" wrapText="1"/>
      <protection locked="0"/>
    </xf>
    <xf numFmtId="0" fontId="0" fillId="0" borderId="0" xfId="0" applyAlignment="1">
      <alignment horizontal="center" vertical="top"/>
    </xf>
    <xf numFmtId="0" fontId="60" fillId="46" borderId="39" xfId="3" applyFont="1" applyFill="1" applyBorder="1" applyAlignment="1">
      <alignment horizontal="center" vertical="center"/>
    </xf>
    <xf numFmtId="0" fontId="54" fillId="15" borderId="39" xfId="0" applyFont="1" applyFill="1" applyBorder="1" applyAlignment="1">
      <alignment horizontal="center" vertical="center" wrapText="1"/>
    </xf>
    <xf numFmtId="0" fontId="53" fillId="0" borderId="39" xfId="0" applyFont="1" applyBorder="1" applyAlignment="1" applyProtection="1">
      <alignment horizontal="left" vertical="top" wrapText="1"/>
      <protection locked="0"/>
    </xf>
    <xf numFmtId="0" fontId="11" fillId="9" borderId="14" xfId="3" applyFont="1" applyFill="1" applyBorder="1" applyAlignment="1" applyProtection="1">
      <alignment horizontal="center" vertical="center" wrapText="1"/>
      <protection locked="0"/>
    </xf>
    <xf numFmtId="0" fontId="11" fillId="9" borderId="20" xfId="3" applyFont="1" applyFill="1" applyBorder="1" applyAlignment="1" applyProtection="1">
      <alignment horizontal="center" vertical="center" wrapText="1"/>
      <protection locked="0"/>
    </xf>
    <xf numFmtId="0" fontId="11" fillId="9" borderId="159" xfId="3" applyFont="1" applyFill="1" applyBorder="1" applyAlignment="1" applyProtection="1">
      <alignment horizontal="center" vertical="center" wrapText="1"/>
      <protection locked="0"/>
    </xf>
    <xf numFmtId="0" fontId="11" fillId="9" borderId="32" xfId="3" applyFont="1" applyFill="1" applyBorder="1" applyAlignment="1" applyProtection="1">
      <alignment horizontal="center" vertical="center" wrapText="1"/>
      <protection locked="0"/>
    </xf>
    <xf numFmtId="0" fontId="11" fillId="9" borderId="0" xfId="3" applyFont="1" applyFill="1" applyAlignment="1" applyProtection="1">
      <alignment horizontal="center" vertical="center" wrapText="1"/>
      <protection locked="0"/>
    </xf>
    <xf numFmtId="0" fontId="11" fillId="9" borderId="13" xfId="3" applyFont="1" applyFill="1" applyBorder="1" applyAlignment="1" applyProtection="1">
      <alignment horizontal="center" vertical="center" wrapText="1"/>
      <protection locked="0"/>
    </xf>
    <xf numFmtId="0" fontId="11" fillId="9" borderId="181" xfId="3" applyFont="1" applyFill="1" applyBorder="1" applyAlignment="1" applyProtection="1">
      <alignment horizontal="center" vertical="center" wrapText="1"/>
      <protection locked="0"/>
    </xf>
    <xf numFmtId="0" fontId="11" fillId="9" borderId="10" xfId="3" applyFont="1" applyFill="1" applyBorder="1" applyAlignment="1" applyProtection="1">
      <alignment horizontal="center" vertical="center" wrapText="1"/>
      <protection locked="0"/>
    </xf>
    <xf numFmtId="0" fontId="11" fillId="9" borderId="11" xfId="3" applyFont="1" applyFill="1" applyBorder="1" applyAlignment="1" applyProtection="1">
      <alignment horizontal="center" vertical="center" wrapText="1"/>
      <protection locked="0"/>
    </xf>
    <xf numFmtId="0" fontId="60" fillId="41" borderId="39" xfId="3" applyFont="1" applyFill="1" applyBorder="1" applyAlignment="1">
      <alignment horizontal="center" vertical="center"/>
    </xf>
    <xf numFmtId="0" fontId="11" fillId="9" borderId="20" xfId="3" applyFont="1" applyFill="1" applyBorder="1" applyAlignment="1" applyProtection="1">
      <alignment horizontal="left" vertical="center" wrapText="1"/>
      <protection locked="0"/>
    </xf>
    <xf numFmtId="0" fontId="11" fillId="9" borderId="159" xfId="3" applyFont="1" applyFill="1" applyBorder="1" applyAlignment="1" applyProtection="1">
      <alignment horizontal="left" vertical="center" wrapText="1"/>
      <protection locked="0"/>
    </xf>
    <xf numFmtId="0" fontId="11" fillId="9" borderId="0" xfId="3" applyFont="1" applyFill="1" applyAlignment="1" applyProtection="1">
      <alignment horizontal="left" vertical="center" wrapText="1"/>
      <protection locked="0"/>
    </xf>
    <xf numFmtId="0" fontId="11" fillId="9" borderId="13" xfId="3" applyFont="1" applyFill="1" applyBorder="1" applyAlignment="1" applyProtection="1">
      <alignment horizontal="left" vertical="center" wrapText="1"/>
      <protection locked="0"/>
    </xf>
    <xf numFmtId="0" fontId="11" fillId="9" borderId="10" xfId="3" applyFont="1" applyFill="1" applyBorder="1" applyAlignment="1" applyProtection="1">
      <alignment horizontal="left" vertical="center" wrapText="1"/>
      <protection locked="0"/>
    </xf>
    <xf numFmtId="0" fontId="11" fillId="9" borderId="11" xfId="3" applyFont="1" applyFill="1" applyBorder="1" applyAlignment="1" applyProtection="1">
      <alignment horizontal="left" vertical="center" wrapText="1"/>
      <protection locked="0"/>
    </xf>
    <xf numFmtId="0" fontId="11" fillId="9" borderId="14" xfId="3" applyFont="1" applyFill="1" applyBorder="1" applyAlignment="1" applyProtection="1">
      <alignment horizontal="left" vertical="center" wrapText="1"/>
      <protection locked="0"/>
    </xf>
    <xf numFmtId="0" fontId="11" fillId="9" borderId="32" xfId="3" applyFont="1" applyFill="1" applyBorder="1" applyAlignment="1" applyProtection="1">
      <alignment horizontal="left" vertical="center" wrapText="1"/>
      <protection locked="0"/>
    </xf>
    <xf numFmtId="0" fontId="11" fillId="9" borderId="181" xfId="3" applyFont="1" applyFill="1" applyBorder="1" applyAlignment="1" applyProtection="1">
      <alignment horizontal="left" vertical="center" wrapText="1"/>
      <protection locked="0"/>
    </xf>
    <xf numFmtId="176" fontId="52" fillId="0" borderId="148" xfId="3" applyNumberFormat="1" applyFont="1" applyBorder="1" applyAlignment="1">
      <alignment horizontal="center" vertical="center"/>
    </xf>
    <xf numFmtId="176" fontId="52" fillId="0" borderId="168" xfId="3" applyNumberFormat="1" applyFont="1" applyBorder="1" applyAlignment="1">
      <alignment horizontal="center" vertical="center"/>
    </xf>
    <xf numFmtId="176" fontId="68" fillId="0" borderId="150" xfId="1" applyNumberFormat="1" applyFont="1" applyBorder="1" applyAlignment="1">
      <alignment horizontal="center" vertical="center"/>
    </xf>
    <xf numFmtId="176" fontId="68" fillId="0" borderId="169" xfId="1" applyNumberFormat="1" applyFont="1" applyBorder="1" applyAlignment="1">
      <alignment horizontal="center" vertical="center"/>
    </xf>
    <xf numFmtId="9" fontId="68" fillId="0" borderId="150" xfId="1" applyNumberFormat="1" applyFont="1" applyBorder="1" applyAlignment="1">
      <alignment horizontal="right" vertical="center"/>
    </xf>
    <xf numFmtId="9" fontId="68" fillId="0" borderId="169" xfId="1" applyNumberFormat="1" applyFont="1" applyBorder="1" applyAlignment="1">
      <alignment horizontal="right" vertical="center"/>
    </xf>
    <xf numFmtId="0" fontId="61" fillId="0" borderId="39" xfId="0" applyFont="1" applyBorder="1" applyAlignment="1" applyProtection="1">
      <alignment horizontal="left" vertical="top" wrapText="1"/>
      <protection locked="0"/>
    </xf>
    <xf numFmtId="0" fontId="59" fillId="15" borderId="39" xfId="3" applyFont="1" applyFill="1" applyBorder="1" applyAlignment="1">
      <alignment horizontal="center" vertical="center"/>
    </xf>
    <xf numFmtId="0" fontId="57" fillId="15" borderId="39" xfId="0" applyFont="1" applyFill="1" applyBorder="1" applyAlignment="1">
      <alignment horizontal="center" vertical="center" wrapText="1"/>
    </xf>
    <xf numFmtId="0" fontId="19" fillId="6" borderId="39" xfId="3" applyFont="1" applyFill="1" applyBorder="1" applyAlignment="1">
      <alignment horizontal="center" vertical="center"/>
    </xf>
    <xf numFmtId="0" fontId="20" fillId="6" borderId="39" xfId="3" applyFont="1" applyFill="1" applyBorder="1" applyAlignment="1">
      <alignment horizontal="center" vertical="center" wrapText="1"/>
    </xf>
    <xf numFmtId="191" fontId="13" fillId="6" borderId="39" xfId="3" applyNumberFormat="1" applyFont="1" applyFill="1" applyBorder="1" applyAlignment="1">
      <alignment horizontal="center" vertical="center"/>
    </xf>
    <xf numFmtId="0" fontId="13" fillId="0" borderId="39" xfId="3" applyFont="1" applyBorder="1" applyAlignment="1">
      <alignment horizontal="center" vertical="center"/>
    </xf>
    <xf numFmtId="0" fontId="19" fillId="10" borderId="39" xfId="3" applyFont="1" applyFill="1" applyBorder="1" applyAlignment="1">
      <alignment horizontal="left" vertical="center" indent="1"/>
    </xf>
    <xf numFmtId="0" fontId="20" fillId="10" borderId="39" xfId="3" applyFont="1" applyFill="1" applyBorder="1" applyAlignment="1">
      <alignment horizontal="center" vertical="center" wrapText="1"/>
    </xf>
    <xf numFmtId="0" fontId="13" fillId="10" borderId="39" xfId="3" applyFont="1" applyFill="1" applyBorder="1" applyAlignment="1">
      <alignment horizontal="center" vertical="center"/>
    </xf>
    <xf numFmtId="0" fontId="19" fillId="0" borderId="39" xfId="3" applyFont="1" applyBorder="1" applyAlignment="1">
      <alignment horizontal="left" vertical="center" indent="1"/>
    </xf>
    <xf numFmtId="0" fontId="20" fillId="0" borderId="39" xfId="3" applyFont="1" applyBorder="1" applyAlignment="1">
      <alignment horizontal="center" vertical="center" wrapText="1"/>
    </xf>
    <xf numFmtId="0" fontId="19" fillId="6" borderId="39" xfId="3" applyFont="1" applyFill="1" applyBorder="1" applyAlignment="1">
      <alignment horizontal="center" vertical="center" wrapText="1"/>
    </xf>
    <xf numFmtId="0" fontId="13" fillId="6" borderId="39" xfId="3" applyFont="1" applyFill="1" applyBorder="1" applyAlignment="1">
      <alignment horizontal="center" vertical="center"/>
    </xf>
    <xf numFmtId="0" fontId="57" fillId="0" borderId="16" xfId="0" applyFont="1" applyBorder="1" applyAlignment="1">
      <alignment horizontal="center" vertical="center"/>
    </xf>
    <xf numFmtId="0" fontId="57" fillId="0" borderId="17" xfId="0" applyFont="1" applyBorder="1" applyAlignment="1">
      <alignment horizontal="center" vertical="center"/>
    </xf>
    <xf numFmtId="0" fontId="57" fillId="0" borderId="21" xfId="0" applyFont="1" applyBorder="1" applyAlignment="1">
      <alignment horizontal="center" vertical="center"/>
    </xf>
    <xf numFmtId="0" fontId="57" fillId="0" borderId="39" xfId="0" applyFont="1" applyBorder="1" applyAlignment="1">
      <alignment horizontal="center" vertical="center"/>
    </xf>
    <xf numFmtId="0" fontId="57" fillId="6" borderId="72" xfId="0" applyFont="1" applyFill="1" applyBorder="1" applyAlignment="1">
      <alignment horizontal="center" vertical="center"/>
    </xf>
    <xf numFmtId="0" fontId="57" fillId="6" borderId="49" xfId="0" applyFont="1" applyFill="1" applyBorder="1" applyAlignment="1">
      <alignment horizontal="center" vertical="center"/>
    </xf>
    <xf numFmtId="0" fontId="57" fillId="0" borderId="14" xfId="0" quotePrefix="1" applyFont="1" applyBorder="1" applyAlignment="1">
      <alignment horizontal="left" vertical="center" wrapText="1"/>
    </xf>
    <xf numFmtId="0" fontId="57" fillId="0" borderId="20" xfId="0" applyFont="1" applyBorder="1" applyAlignment="1">
      <alignment horizontal="left" vertical="center"/>
    </xf>
    <xf numFmtId="0" fontId="57" fillId="0" borderId="15" xfId="0" applyFont="1" applyBorder="1" applyAlignment="1">
      <alignment horizontal="left" vertical="center"/>
    </xf>
    <xf numFmtId="0" fontId="57" fillId="0" borderId="22" xfId="0" applyFont="1" applyBorder="1" applyAlignment="1">
      <alignment horizontal="left" vertical="center"/>
    </xf>
    <xf numFmtId="0" fontId="57" fillId="0" borderId="24" xfId="0" applyFont="1" applyBorder="1" applyAlignment="1">
      <alignment horizontal="left" vertical="center"/>
    </xf>
    <xf numFmtId="0" fontId="57" fillId="0" borderId="23" xfId="0" applyFont="1" applyBorder="1" applyAlignment="1">
      <alignment horizontal="left" vertical="center"/>
    </xf>
    <xf numFmtId="14" fontId="57" fillId="0" borderId="14" xfId="0" applyNumberFormat="1" applyFont="1" applyBorder="1" applyAlignment="1">
      <alignment horizontal="right" vertical="center"/>
    </xf>
    <xf numFmtId="14" fontId="57" fillId="0" borderId="20" xfId="0" applyNumberFormat="1" applyFont="1" applyBorder="1" applyAlignment="1">
      <alignment horizontal="right" vertical="center"/>
    </xf>
    <xf numFmtId="14" fontId="57" fillId="0" borderId="22" xfId="0" applyNumberFormat="1" applyFont="1" applyBorder="1" applyAlignment="1">
      <alignment horizontal="right" vertical="center"/>
    </xf>
    <xf numFmtId="14" fontId="57" fillId="0" borderId="24" xfId="0" applyNumberFormat="1" applyFont="1" applyBorder="1" applyAlignment="1">
      <alignment horizontal="right" vertical="center"/>
    </xf>
    <xf numFmtId="0" fontId="57" fillId="6" borderId="39" xfId="0" applyFont="1" applyFill="1" applyBorder="1" applyAlignment="1">
      <alignment horizontal="center" vertical="center"/>
    </xf>
    <xf numFmtId="0" fontId="54" fillId="0" borderId="16" xfId="0" applyFont="1" applyBorder="1" applyAlignment="1">
      <alignment horizontal="center" vertical="center"/>
    </xf>
    <xf numFmtId="0" fontId="54" fillId="0" borderId="17" xfId="0" applyFont="1" applyBorder="1" applyAlignment="1">
      <alignment horizontal="center" vertical="center"/>
    </xf>
    <xf numFmtId="0" fontId="54" fillId="0" borderId="21" xfId="0" applyFont="1" applyBorder="1" applyAlignment="1">
      <alignment horizontal="center" vertical="center"/>
    </xf>
    <xf numFmtId="0" fontId="13" fillId="6" borderId="16" xfId="3" applyFont="1" applyFill="1" applyBorder="1" applyAlignment="1">
      <alignment horizontal="center" vertical="center"/>
    </xf>
    <xf numFmtId="0" fontId="13" fillId="6" borderId="17" xfId="3" applyFont="1" applyFill="1" applyBorder="1" applyAlignment="1">
      <alignment horizontal="center" vertical="center"/>
    </xf>
    <xf numFmtId="0" fontId="13" fillId="6" borderId="21" xfId="3" applyFont="1" applyFill="1" applyBorder="1" applyAlignment="1">
      <alignment horizontal="center" vertical="center"/>
    </xf>
    <xf numFmtId="2" fontId="11" fillId="0" borderId="16" xfId="3" applyNumberFormat="1" applyFont="1" applyBorder="1" applyAlignment="1">
      <alignment horizontal="center" vertical="center"/>
    </xf>
    <xf numFmtId="2" fontId="11" fillId="0" borderId="17" xfId="3" applyNumberFormat="1" applyFont="1" applyBorder="1" applyAlignment="1">
      <alignment horizontal="center" vertical="center"/>
    </xf>
    <xf numFmtId="2" fontId="11" fillId="0" borderId="21" xfId="3" applyNumberFormat="1" applyFont="1" applyBorder="1" applyAlignment="1">
      <alignment horizontal="center" vertical="center"/>
    </xf>
    <xf numFmtId="0" fontId="17" fillId="0" borderId="16" xfId="3" applyFont="1" applyBorder="1" applyAlignment="1" applyProtection="1">
      <alignment horizontal="left" vertical="center"/>
      <protection locked="0"/>
    </xf>
    <xf numFmtId="0" fontId="17" fillId="0" borderId="17" xfId="3" applyFont="1" applyBorder="1" applyAlignment="1" applyProtection="1">
      <alignment horizontal="left" vertical="center"/>
      <protection locked="0"/>
    </xf>
    <xf numFmtId="0" fontId="17" fillId="0" borderId="21" xfId="3" applyFont="1" applyBorder="1" applyAlignment="1" applyProtection="1">
      <alignment horizontal="left" vertical="center"/>
      <protection locked="0"/>
    </xf>
    <xf numFmtId="0" fontId="11" fillId="0" borderId="16" xfId="3" applyFont="1" applyBorder="1" applyAlignment="1">
      <alignment horizontal="center" vertical="center"/>
    </xf>
    <xf numFmtId="0" fontId="11" fillId="0" borderId="17" xfId="3" applyFont="1" applyBorder="1" applyAlignment="1">
      <alignment horizontal="center" vertical="center"/>
    </xf>
    <xf numFmtId="0" fontId="11" fillId="0" borderId="21" xfId="3" applyFont="1" applyBorder="1" applyAlignment="1">
      <alignment horizontal="center" vertical="center"/>
    </xf>
    <xf numFmtId="2" fontId="17" fillId="0" borderId="16" xfId="3" applyNumberFormat="1" applyFont="1" applyBorder="1" applyAlignment="1">
      <alignment horizontal="center" vertical="center"/>
    </xf>
    <xf numFmtId="2" fontId="17" fillId="0" borderId="17" xfId="3" applyNumberFormat="1" applyFont="1" applyBorder="1" applyAlignment="1">
      <alignment horizontal="center" vertical="center"/>
    </xf>
    <xf numFmtId="2" fontId="17" fillId="0" borderId="21" xfId="3" applyNumberFormat="1" applyFont="1" applyBorder="1" applyAlignment="1">
      <alignment horizontal="center" vertical="center"/>
    </xf>
    <xf numFmtId="197" fontId="17" fillId="0" borderId="16" xfId="3" applyNumberFormat="1" applyFont="1" applyBorder="1" applyAlignment="1" applyProtection="1">
      <alignment horizontal="center" vertical="center"/>
      <protection locked="0"/>
    </xf>
    <xf numFmtId="197" fontId="17" fillId="0" borderId="17" xfId="3" applyNumberFormat="1" applyFont="1" applyBorder="1" applyAlignment="1" applyProtection="1">
      <alignment horizontal="center" vertical="center"/>
      <protection locked="0"/>
    </xf>
    <xf numFmtId="197" fontId="17" fillId="0" borderId="21" xfId="3" applyNumberFormat="1" applyFont="1" applyBorder="1" applyAlignment="1" applyProtection="1">
      <alignment horizontal="center" vertical="center"/>
      <protection locked="0"/>
    </xf>
    <xf numFmtId="0" fontId="11" fillId="0" borderId="16" xfId="3" applyFont="1" applyBorder="1" applyAlignment="1">
      <alignment horizontal="center" vertical="center" wrapText="1"/>
    </xf>
    <xf numFmtId="0" fontId="11" fillId="0" borderId="17" xfId="3" applyFont="1" applyBorder="1" applyAlignment="1">
      <alignment horizontal="center" vertical="center" wrapText="1"/>
    </xf>
    <xf numFmtId="0" fontId="11" fillId="0" borderId="21" xfId="3" applyFont="1" applyBorder="1" applyAlignment="1">
      <alignment horizontal="center" vertical="center" wrapText="1"/>
    </xf>
    <xf numFmtId="186" fontId="11" fillId="7" borderId="16" xfId="3" applyNumberFormat="1" applyFont="1" applyFill="1" applyBorder="1" applyAlignment="1">
      <alignment horizontal="center" vertical="center"/>
    </xf>
    <xf numFmtId="186" fontId="11" fillId="7" borderId="17" xfId="3" applyNumberFormat="1" applyFont="1" applyFill="1" applyBorder="1" applyAlignment="1">
      <alignment horizontal="center" vertical="center"/>
    </xf>
    <xf numFmtId="186" fontId="11" fillId="7" borderId="21" xfId="3" applyNumberFormat="1" applyFont="1" applyFill="1" applyBorder="1" applyAlignment="1">
      <alignment horizontal="center" vertical="center"/>
    </xf>
    <xf numFmtId="0" fontId="27" fillId="0" borderId="0" xfId="3" applyFont="1" applyAlignment="1">
      <alignment horizontal="center" vertical="center"/>
    </xf>
    <xf numFmtId="0" fontId="40" fillId="28" borderId="16" xfId="0" applyFont="1" applyFill="1" applyBorder="1" applyAlignment="1">
      <alignment horizontal="center" vertical="center"/>
    </xf>
    <xf numFmtId="0" fontId="40" fillId="28" borderId="17" xfId="0" applyFont="1" applyFill="1" applyBorder="1" applyAlignment="1">
      <alignment horizontal="center" vertical="center"/>
    </xf>
    <xf numFmtId="0" fontId="3" fillId="17" borderId="2" xfId="0" applyFont="1" applyFill="1" applyBorder="1" applyAlignment="1">
      <alignment horizontal="center" vertical="center" wrapText="1"/>
    </xf>
    <xf numFmtId="0" fontId="3" fillId="17" borderId="1" xfId="0" applyFont="1" applyFill="1" applyBorder="1" applyAlignment="1">
      <alignment horizontal="center" vertical="center" wrapText="1"/>
    </xf>
    <xf numFmtId="0" fontId="44" fillId="7" borderId="75" xfId="0" applyFont="1" applyFill="1" applyBorder="1" applyAlignment="1">
      <alignment horizontal="center" vertical="top"/>
    </xf>
    <xf numFmtId="0" fontId="44" fillId="7" borderId="84" xfId="0" applyFont="1" applyFill="1" applyBorder="1" applyAlignment="1">
      <alignment horizontal="center" vertical="top"/>
    </xf>
    <xf numFmtId="0" fontId="44" fillId="7" borderId="76" xfId="0" applyFont="1" applyFill="1" applyBorder="1" applyAlignment="1">
      <alignment horizontal="center" vertical="top"/>
    </xf>
    <xf numFmtId="0" fontId="49" fillId="36" borderId="75" xfId="0" applyFont="1" applyFill="1" applyBorder="1" applyAlignment="1">
      <alignment horizontal="center" vertical="center" wrapText="1"/>
    </xf>
    <xf numFmtId="0" fontId="49" fillId="36" borderId="76" xfId="0" applyFont="1" applyFill="1" applyBorder="1" applyAlignment="1">
      <alignment horizontal="center" vertical="center" wrapText="1"/>
    </xf>
    <xf numFmtId="0" fontId="49" fillId="36" borderId="75" xfId="0" applyFont="1" applyFill="1" applyBorder="1" applyAlignment="1">
      <alignment horizontal="center" vertical="center"/>
    </xf>
    <xf numFmtId="0" fontId="46" fillId="36" borderId="84" xfId="0" applyFont="1" applyFill="1" applyBorder="1" applyAlignment="1">
      <alignment horizontal="center" vertical="top"/>
    </xf>
    <xf numFmtId="0" fontId="44" fillId="35" borderId="75" xfId="0" applyFont="1" applyFill="1" applyBorder="1" applyAlignment="1">
      <alignment horizontal="center" vertical="top"/>
    </xf>
    <xf numFmtId="0" fontId="44" fillId="35" borderId="84" xfId="0" applyFont="1" applyFill="1" applyBorder="1" applyAlignment="1">
      <alignment horizontal="center" vertical="top"/>
    </xf>
    <xf numFmtId="0" fontId="44" fillId="35" borderId="76" xfId="0" applyFont="1" applyFill="1" applyBorder="1" applyAlignment="1">
      <alignment horizontal="center" vertical="top"/>
    </xf>
    <xf numFmtId="0" fontId="45" fillId="34" borderId="0" xfId="0" applyFont="1" applyFill="1" applyAlignment="1">
      <alignment horizontal="center" vertical="top" wrapText="1"/>
    </xf>
    <xf numFmtId="0" fontId="2" fillId="0" borderId="0" xfId="0" applyFont="1" applyAlignment="1">
      <alignment horizontal="center" vertical="top"/>
    </xf>
    <xf numFmtId="0" fontId="31" fillId="0" borderId="0" xfId="3" applyFont="1" applyAlignment="1">
      <alignment horizontal="center" vertical="center"/>
    </xf>
    <xf numFmtId="0" fontId="32" fillId="6" borderId="0" xfId="3" applyFont="1" applyFill="1" applyBorder="1" applyAlignment="1" applyProtection="1">
      <alignment horizontal="center" vertical="center"/>
      <protection hidden="1"/>
    </xf>
  </cellXfs>
  <cellStyles count="11">
    <cellStyle name="백분율" xfId="2" builtinId="5"/>
    <cellStyle name="백분율 2" xfId="5" xr:uid="{473712CA-6ABA-4092-9216-61FF3D1C2F55}"/>
    <cellStyle name="백분율 3" xfId="8" xr:uid="{8137E0FE-489E-4E51-B1DE-5FA1AE186499}"/>
    <cellStyle name="쉼표 [0]" xfId="1" builtinId="6"/>
    <cellStyle name="쉼표 [0] 2" xfId="4" xr:uid="{0DC9FB4F-0C7C-4610-9148-3E5906FE48CF}"/>
    <cellStyle name="쉼표 [0] 2 2" xfId="6" xr:uid="{909B9A9D-CFDD-49BC-B629-083EA853B53D}"/>
    <cellStyle name="쉼표 [0] 3" xfId="9" xr:uid="{C7896AE6-8B54-48A6-86F7-C9C3EA3D059A}"/>
    <cellStyle name="표준" xfId="0" builtinId="0"/>
    <cellStyle name="표준 2" xfId="3" xr:uid="{BDE6AAF4-CC41-432D-B615-13E251F8C137}"/>
    <cellStyle name="표준 3" xfId="7" xr:uid="{8E9680F8-1AAE-4008-AF68-E84B4708A2BF}"/>
    <cellStyle name="하이퍼링크" xfId="10" builtinId="8"/>
  </cellStyles>
  <dxfs count="6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Times New Roman"/>
        <family val="1"/>
        <scheme val="none"/>
      </font>
      <alignment horizontal="center" vertical="top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맑은 고딕"/>
        <family val="3"/>
        <charset val="129"/>
        <scheme val="none"/>
      </font>
      <alignment horizontal="left" vertical="top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</dxfs>
  <tableStyles count="0" defaultTableStyle="TableStyleMedium9" defaultPivotStyle="PivotStyleLight16"/>
  <colors>
    <mruColors>
      <color rgb="FFB9D08C"/>
      <color rgb="FF41801E"/>
      <color rgb="FF30519A"/>
      <color rgb="FFF6F9D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C00000"/>
              </a:solidFill>
              <a:ln w="9525">
                <a:solidFill>
                  <a:schemeClr val="bg1">
                    <a:lumMod val="50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3BA-484A-B479-E354F7996E57}"/>
              </c:ext>
            </c:extLst>
          </c:dPt>
          <c:dPt>
            <c:idx val="1"/>
            <c:bubble3D val="0"/>
            <c:spPr>
              <a:solidFill>
                <a:schemeClr val="accent2">
                  <a:lumMod val="40000"/>
                  <a:lumOff val="60000"/>
                  <a:alpha val="51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93BA-484A-B479-E354F7996E57}"/>
              </c:ext>
            </c:extLst>
          </c:dPt>
          <c:dLbls>
            <c:dLbl>
              <c:idx val="0"/>
              <c:layout>
                <c:manualLayout>
                  <c:x val="0.10610809934974642"/>
                  <c:y val="-0.12858429099231358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bg1"/>
                      </a:solidFill>
                      <a:effectLst>
                        <a:outerShdw blurRad="50800" dist="38100" dir="2700000" algn="tl" rotWithShape="0">
                          <a:prstClr val="black">
                            <a:alpha val="40000"/>
                          </a:prstClr>
                        </a:outerShdw>
                      </a:effectLst>
                      <a:latin typeface="KoPubWorld돋움체_Pro Bold" panose="00000800000000000000" pitchFamily="50" charset="-127"/>
                      <a:ea typeface="KoPubWorld돋움체_Pro Bold" panose="00000800000000000000" pitchFamily="50" charset="-127"/>
                      <a:cs typeface="KoPubWorld돋움체_Pro Bold" panose="00000800000000000000" pitchFamily="50" charset="-127"/>
                    </a:defRPr>
                  </a:pPr>
                  <a:endParaRPr lang="ko-KR"/>
                </a:p>
              </c:txPr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3BA-484A-B479-E354F7996E57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3BA-484A-B479-E354F7996E5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'측정자 입력파일'!$Z$53:$Z$57</c:f>
              <c:strCache>
                <c:ptCount val="5"/>
                <c:pt idx="0">
                  <c:v>취약</c:v>
                </c:pt>
                <c:pt idx="1">
                  <c:v>미흡</c:v>
                </c:pt>
                <c:pt idx="2">
                  <c:v>양호</c:v>
                </c:pt>
                <c:pt idx="3">
                  <c:v>우수</c:v>
                </c:pt>
                <c:pt idx="4">
                  <c:v>탁월</c:v>
                </c:pt>
              </c:strCache>
            </c:strRef>
          </c:cat>
          <c:val>
            <c:numRef>
              <c:f>'측정자 입력파일'!$AA$51:$AA$52</c:f>
              <c:numCache>
                <c:formatCode>General</c:formatCode>
                <c:ptCount val="2"/>
                <c:pt idx="0">
                  <c:v>90.1</c:v>
                </c:pt>
                <c:pt idx="1">
                  <c:v>9.9000000000000057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3BA-484A-B479-E354F7996E57}"/>
            </c:ext>
          </c:extLst>
        </c:ser>
        <c:ser>
          <c:idx val="1"/>
          <c:order val="1"/>
          <c:spPr>
            <a:pattFill prst="ltUpDiag">
              <a:fgClr>
                <a:schemeClr val="bg1">
                  <a:lumMod val="65000"/>
                </a:schemeClr>
              </a:fgClr>
              <a:bgClr>
                <a:schemeClr val="bg1"/>
              </a:bgClr>
            </a:pattFill>
            <a:ln w="9525">
              <a:solidFill>
                <a:schemeClr val="bg1">
                  <a:lumMod val="75000"/>
                </a:schemeClr>
              </a:solidFill>
            </a:ln>
          </c:spPr>
          <c:dPt>
            <c:idx val="0"/>
            <c:bubble3D val="0"/>
            <c:spPr>
              <a:pattFill prst="ltUpDiag">
                <a:fgClr>
                  <a:schemeClr val="bg1">
                    <a:lumMod val="65000"/>
                  </a:schemeClr>
                </a:fgClr>
                <a:bgClr>
                  <a:schemeClr val="bg1"/>
                </a:bgClr>
              </a:pattFill>
              <a:ln w="9525"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93BA-484A-B479-E354F7996E57}"/>
              </c:ext>
            </c:extLst>
          </c:dPt>
          <c:dPt>
            <c:idx val="1"/>
            <c:bubble3D val="0"/>
            <c:spPr>
              <a:pattFill prst="ltUpDiag">
                <a:fgClr>
                  <a:schemeClr val="bg1">
                    <a:lumMod val="95000"/>
                  </a:schemeClr>
                </a:fgClr>
                <a:bgClr>
                  <a:schemeClr val="bg2">
                    <a:lumMod val="75000"/>
                  </a:schemeClr>
                </a:bgClr>
              </a:pattFill>
              <a:ln w="9525"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8-93BA-484A-B479-E354F7996E57}"/>
              </c:ext>
            </c:extLst>
          </c:dPt>
          <c:dPt>
            <c:idx val="2"/>
            <c:bubble3D val="0"/>
            <c:spPr>
              <a:pattFill prst="ltUpDiag">
                <a:fgClr>
                  <a:schemeClr val="bg1">
                    <a:lumMod val="85000"/>
                  </a:schemeClr>
                </a:fgClr>
                <a:bgClr>
                  <a:schemeClr val="accent3"/>
                </a:bgClr>
              </a:pattFill>
              <a:ln w="9525"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A-93BA-484A-B479-E354F7996E57}"/>
              </c:ext>
            </c:extLst>
          </c:dPt>
          <c:dPt>
            <c:idx val="3"/>
            <c:bubble3D val="0"/>
            <c:spPr>
              <a:pattFill prst="ltUpDiag">
                <a:fgClr>
                  <a:schemeClr val="bg1">
                    <a:lumMod val="85000"/>
                  </a:schemeClr>
                </a:fgClr>
                <a:bgClr>
                  <a:schemeClr val="tx2">
                    <a:lumMod val="60000"/>
                    <a:lumOff val="40000"/>
                  </a:schemeClr>
                </a:bgClr>
              </a:pattFill>
              <a:ln w="9525"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C-93BA-484A-B479-E354F7996E57}"/>
              </c:ext>
            </c:extLst>
          </c:dPt>
          <c:dPt>
            <c:idx val="4"/>
            <c:bubble3D val="0"/>
            <c:spPr>
              <a:pattFill prst="ltUpDiag">
                <a:fgClr>
                  <a:schemeClr val="bg1">
                    <a:lumMod val="85000"/>
                  </a:schemeClr>
                </a:fgClr>
                <a:bgClr>
                  <a:srgbClr val="FFC000"/>
                </a:bgClr>
              </a:pattFill>
              <a:ln w="9525">
                <a:solidFill>
                  <a:schemeClr val="bg1">
                    <a:lumMod val="7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E-93BA-484A-B479-E354F7996E57}"/>
              </c:ext>
            </c:extLst>
          </c:dPt>
          <c:dLbls>
            <c:dLbl>
              <c:idx val="4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/>
                      </a:solidFill>
                      <a:effectLst>
                        <a:outerShdw blurRad="50800" dist="38100" dir="2700000" sx="83000" sy="83000" algn="tl" rotWithShape="0">
                          <a:prstClr val="black">
                            <a:alpha val="40000"/>
                          </a:prstClr>
                        </a:outerShdw>
                      </a:effectLst>
                      <a:latin typeface="KoPubWorld돋움체_Pro Bold" panose="00000800000000000000" pitchFamily="50" charset="-127"/>
                      <a:ea typeface="KoPubWorld돋움체_Pro Bold" panose="00000800000000000000" pitchFamily="50" charset="-127"/>
                      <a:cs typeface="KoPubWorld돋움체_Pro Bold" panose="00000800000000000000" pitchFamily="50" charset="-127"/>
                    </a:defRPr>
                  </a:pPr>
                  <a:endParaRPr lang="ko-KR"/>
                </a:p>
              </c:txPr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E-93BA-484A-B479-E354F7996E5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effectLst>
                      <a:outerShdw blurRad="50800" dist="38100" dir="2700000" sx="83000" sy="83000" algn="tl" rotWithShape="0">
                        <a:prstClr val="black">
                          <a:alpha val="40000"/>
                        </a:prstClr>
                      </a:outerShdw>
                    </a:effectLst>
                    <a:latin typeface="KoPubWorld돋움체_Pro Bold" panose="00000800000000000000" pitchFamily="50" charset="-127"/>
                    <a:ea typeface="KoPubWorld돋움체_Pro Bold" panose="00000800000000000000" pitchFamily="50" charset="-127"/>
                    <a:cs typeface="KoPubWorld돋움체_Pro Bold" panose="00000800000000000000" pitchFamily="50" charset="-127"/>
                  </a:defRPr>
                </a:pPr>
                <a:endParaRPr lang="ko-KR"/>
              </a:p>
            </c:txPr>
            <c:showLegendKey val="0"/>
            <c:showVal val="0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'측정자 입력파일'!$Z$53:$Z$57</c:f>
              <c:strCache>
                <c:ptCount val="5"/>
                <c:pt idx="0">
                  <c:v>취약</c:v>
                </c:pt>
                <c:pt idx="1">
                  <c:v>미흡</c:v>
                </c:pt>
                <c:pt idx="2">
                  <c:v>양호</c:v>
                </c:pt>
                <c:pt idx="3">
                  <c:v>우수</c:v>
                </c:pt>
                <c:pt idx="4">
                  <c:v>탁월</c:v>
                </c:pt>
              </c:strCache>
            </c:strRef>
          </c:cat>
          <c:val>
            <c:numRef>
              <c:f>'측정자 입력파일'!$AA$53:$AA$57</c:f>
              <c:numCache>
                <c:formatCode>General</c:formatCode>
                <c:ptCount val="5"/>
                <c:pt idx="0">
                  <c:v>45</c:v>
                </c:pt>
                <c:pt idx="1">
                  <c:v>15</c:v>
                </c:pt>
                <c:pt idx="2">
                  <c:v>15</c:v>
                </c:pt>
                <c:pt idx="3">
                  <c:v>15</c:v>
                </c:pt>
                <c:pt idx="4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93BA-484A-B479-E354F7996E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49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44997222222222222"/>
          <c:y val="7.2072127845739853E-2"/>
          <c:w val="0.53336111111111106"/>
          <c:h val="0.85585574430852029"/>
        </c:manualLayout>
      </c:layout>
      <c:barChart>
        <c:barDir val="bar"/>
        <c:grouping val="clustered"/>
        <c:varyColors val="0"/>
        <c:ser>
          <c:idx val="1"/>
          <c:order val="0"/>
          <c:spPr>
            <a:solidFill>
              <a:schemeClr val="tx2">
                <a:lumMod val="50000"/>
              </a:schemeClr>
            </a:solidFill>
            <a:ln>
              <a:noFill/>
            </a:ln>
            <a:effectLst/>
          </c:spPr>
          <c:invertIfNegative val="0"/>
          <c:dPt>
            <c:idx val="5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F919-431B-B43C-839BDD839C2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KoPubWorld돋움체_Pro Bold" panose="00000800000000000000" pitchFamily="50" charset="-127"/>
                    <a:ea typeface="KoPubWorld돋움체_Pro Bold" panose="00000800000000000000" pitchFamily="50" charset="-127"/>
                    <a:cs typeface="KoPubWorld돋움체_Pro Bold" panose="00000800000000000000" pitchFamily="50" charset="-127"/>
                  </a:defRPr>
                </a:pPr>
                <a:endParaRPr lang="ko-KR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'측정자 입력파일'!$Z$53:$Z$58</c:f>
              <c:strCache>
                <c:ptCount val="6"/>
                <c:pt idx="0">
                  <c:v>취약</c:v>
                </c:pt>
                <c:pt idx="1">
                  <c:v>미흡</c:v>
                </c:pt>
                <c:pt idx="2">
                  <c:v>양호</c:v>
                </c:pt>
                <c:pt idx="3">
                  <c:v>우수</c:v>
                </c:pt>
                <c:pt idx="4">
                  <c:v>탁월</c:v>
                </c:pt>
                <c:pt idx="5">
                  <c:v>갓피플주식회사</c:v>
                </c:pt>
              </c:strCache>
            </c:strRef>
          </c:cat>
          <c:val>
            <c:numRef>
              <c:f>'측정자 입력파일'!$AB$53:$AB$58</c:f>
              <c:numCache>
                <c:formatCode>General</c:formatCode>
                <c:ptCount val="6"/>
                <c:pt idx="0">
                  <c:v>26.11</c:v>
                </c:pt>
                <c:pt idx="1">
                  <c:v>50.49</c:v>
                </c:pt>
                <c:pt idx="2">
                  <c:v>67.44</c:v>
                </c:pt>
                <c:pt idx="3">
                  <c:v>80.81</c:v>
                </c:pt>
                <c:pt idx="4">
                  <c:v>92.85</c:v>
                </c:pt>
                <c:pt idx="5">
                  <c:v>90.1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919-431B-B43C-839BDD839C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97"/>
        <c:axId val="713405248"/>
        <c:axId val="713410048"/>
      </c:barChart>
      <c:catAx>
        <c:axId val="7134052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KoPubWorld돋움체_Pro Bold" panose="00000800000000000000" pitchFamily="50" charset="-127"/>
                <a:ea typeface="KoPubWorld돋움체_Pro Bold" panose="00000800000000000000" pitchFamily="50" charset="-127"/>
                <a:cs typeface="KoPubWorld돋움체_Pro Bold" panose="00000800000000000000" pitchFamily="50" charset="-127"/>
              </a:defRPr>
            </a:pPr>
            <a:endParaRPr lang="ko-KR"/>
          </a:p>
        </c:txPr>
        <c:crossAx val="713410048"/>
        <c:crosses val="autoZero"/>
        <c:auto val="1"/>
        <c:lblAlgn val="ctr"/>
        <c:lblOffset val="100"/>
        <c:noMultiLvlLbl val="0"/>
      </c:catAx>
      <c:valAx>
        <c:axId val="71341004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7134052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6496790371789175"/>
          <c:y val="8.9091319559147841E-2"/>
          <c:w val="0.81851790513052314"/>
          <c:h val="0.63654695565331298"/>
        </c:manualLayout>
      </c:layout>
      <c:barChart>
        <c:barDir val="bar"/>
        <c:grouping val="percentStacked"/>
        <c:varyColors val="0"/>
        <c:ser>
          <c:idx val="0"/>
          <c:order val="0"/>
          <c:tx>
            <c:strRef>
              <c:f>선택!$R$3</c:f>
              <c:strCache>
                <c:ptCount val="1"/>
                <c:pt idx="0">
                  <c:v>사회적 성과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KoPubWorld돋움체_Pro Medium" panose="00000600000000000000" pitchFamily="50" charset="-127"/>
                    <a:ea typeface="KoPubWorld돋움체_Pro Medium" panose="00000600000000000000" pitchFamily="50" charset="-127"/>
                    <a:cs typeface="KoPubWorld돋움체_Pro Medium" panose="00000600000000000000" pitchFamily="50" charset="-127"/>
                  </a:defRPr>
                </a:pPr>
                <a:endParaRPr lang="ko-K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선택!$Q$4</c:f>
              <c:strCache>
                <c:ptCount val="1"/>
                <c:pt idx="0">
                  <c:v>갓피플주식회사</c:v>
                </c:pt>
              </c:strCache>
            </c:strRef>
          </c:cat>
          <c:val>
            <c:numRef>
              <c:f>선택!$R$4</c:f>
              <c:numCache>
                <c:formatCode>_(* #,##0.0_);_(* \(#,##0.0\);_(* "-"_);_(@_)</c:formatCode>
                <c:ptCount val="1"/>
                <c:pt idx="0">
                  <c:v>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55-404A-8E5D-A78000471431}"/>
            </c:ext>
          </c:extLst>
        </c:ser>
        <c:ser>
          <c:idx val="1"/>
          <c:order val="1"/>
          <c:tx>
            <c:strRef>
              <c:f>선택!$S$3</c:f>
              <c:strCache>
                <c:ptCount val="1"/>
              </c:strCache>
            </c:strRef>
          </c:tx>
          <c:spPr>
            <a:pattFill prst="dkUpDiag">
              <a:fgClr>
                <a:schemeClr val="bg1">
                  <a:lumMod val="85000"/>
                </a:schemeClr>
              </a:fgClr>
              <a:bgClr>
                <a:schemeClr val="bg1"/>
              </a:bgClr>
            </a:patt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delete val="1"/>
          </c:dLbls>
          <c:cat>
            <c:strRef>
              <c:f>선택!$Q$4</c:f>
              <c:strCache>
                <c:ptCount val="1"/>
                <c:pt idx="0">
                  <c:v>갓피플주식회사</c:v>
                </c:pt>
              </c:strCache>
            </c:strRef>
          </c:cat>
          <c:val>
            <c:numRef>
              <c:f>선택!$S$4</c:f>
              <c:numCache>
                <c:formatCode>_-"₩"* #,##0.00_-;\-"₩"* #,##0.00_-;_-"₩"* "-"??_-;_-@_-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355-404A-8E5D-A78000471431}"/>
            </c:ext>
          </c:extLst>
        </c:ser>
        <c:ser>
          <c:idx val="2"/>
          <c:order val="2"/>
          <c:tx>
            <c:strRef>
              <c:f>선택!$T$3</c:f>
              <c:strCache>
                <c:ptCount val="1"/>
                <c:pt idx="0">
                  <c:v>경제적 성과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51000"/>
                    <a:satMod val="130000"/>
                  </a:schemeClr>
                </a:gs>
                <a:gs pos="80000">
                  <a:schemeClr val="accent3">
                    <a:shade val="93000"/>
                    <a:satMod val="130000"/>
                  </a:schemeClr>
                </a:gs>
                <a:gs pos="100000">
                  <a:schemeClr val="accent3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95000"/>
                        <a:lumOff val="5000"/>
                      </a:schemeClr>
                    </a:solidFill>
                    <a:latin typeface="KoPubWorld돋움체_Pro Medium" panose="00000600000000000000" pitchFamily="50" charset="-127"/>
                    <a:ea typeface="KoPubWorld돋움체_Pro Medium" panose="00000600000000000000" pitchFamily="50" charset="-127"/>
                    <a:cs typeface="KoPubWorld돋움체_Pro Medium" panose="00000600000000000000" pitchFamily="50" charset="-127"/>
                  </a:defRPr>
                </a:pPr>
                <a:endParaRPr lang="ko-K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선택!$Q$4</c:f>
              <c:strCache>
                <c:ptCount val="1"/>
                <c:pt idx="0">
                  <c:v>갓피플주식회사</c:v>
                </c:pt>
              </c:strCache>
            </c:strRef>
          </c:cat>
          <c:val>
            <c:numRef>
              <c:f>선택!$T$4</c:f>
              <c:numCache>
                <c:formatCode>_(* #,##0.0_);_(* \(#,##0.0\);_(* "-"_);_(@_)</c:formatCode>
                <c:ptCount val="1"/>
                <c:pt idx="0">
                  <c:v>21.1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355-404A-8E5D-A78000471431}"/>
            </c:ext>
          </c:extLst>
        </c:ser>
        <c:ser>
          <c:idx val="3"/>
          <c:order val="3"/>
          <c:tx>
            <c:strRef>
              <c:f>선택!$U$3</c:f>
              <c:strCache>
                <c:ptCount val="1"/>
              </c:strCache>
            </c:strRef>
          </c:tx>
          <c:spPr>
            <a:pattFill prst="dkUpDiag">
              <a:fgClr>
                <a:schemeClr val="bg1">
                  <a:lumMod val="85000"/>
                </a:schemeClr>
              </a:fgClr>
              <a:bgClr>
                <a:schemeClr val="bg1"/>
              </a:bgClr>
            </a:patt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delete val="1"/>
          </c:dLbls>
          <c:cat>
            <c:strRef>
              <c:f>선택!$Q$4</c:f>
              <c:strCache>
                <c:ptCount val="1"/>
                <c:pt idx="0">
                  <c:v>갓피플주식회사</c:v>
                </c:pt>
              </c:strCache>
            </c:strRef>
          </c:cat>
          <c:val>
            <c:numRef>
              <c:f>선택!$U$4</c:f>
              <c:numCache>
                <c:formatCode>_-"₩"* #,##0.00_-;\-"₩"* #,##0.00_-;_-"₩"* "-"??_-;_-@_-</c:formatCode>
                <c:ptCount val="1"/>
                <c:pt idx="0">
                  <c:v>8.8999999999999986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355-404A-8E5D-A78000471431}"/>
            </c:ext>
          </c:extLst>
        </c:ser>
        <c:ser>
          <c:idx val="4"/>
          <c:order val="4"/>
          <c:tx>
            <c:strRef>
              <c:f>선택!$V$3</c:f>
              <c:strCache>
                <c:ptCount val="1"/>
                <c:pt idx="0">
                  <c:v>혁신성과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hade val="51000"/>
                    <a:satMod val="130000"/>
                  </a:schemeClr>
                </a:gs>
                <a:gs pos="80000">
                  <a:schemeClr val="accent5">
                    <a:shade val="93000"/>
                    <a:satMod val="130000"/>
                  </a:schemeClr>
                </a:gs>
                <a:gs pos="100000">
                  <a:schemeClr val="accent5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95000"/>
                        <a:lumOff val="5000"/>
                      </a:schemeClr>
                    </a:solidFill>
                    <a:latin typeface="KoPubWorld돋움체_Pro Medium" panose="00000600000000000000" pitchFamily="50" charset="-127"/>
                    <a:ea typeface="KoPubWorld돋움체_Pro Medium" panose="00000600000000000000" pitchFamily="50" charset="-127"/>
                    <a:cs typeface="KoPubWorld돋움체_Pro Medium" panose="00000600000000000000" pitchFamily="50" charset="-127"/>
                  </a:defRPr>
                </a:pPr>
                <a:endParaRPr lang="ko-K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선택!$Q$4</c:f>
              <c:strCache>
                <c:ptCount val="1"/>
                <c:pt idx="0">
                  <c:v>갓피플주식회사</c:v>
                </c:pt>
              </c:strCache>
            </c:strRef>
          </c:cat>
          <c:val>
            <c:numRef>
              <c:f>선택!$V$4</c:f>
              <c:numCache>
                <c:formatCode>_(* #,##0.0_);_(* \(#,##0.0\);_(* "-"_);_(@_)</c:formatCode>
                <c:ptCount val="1"/>
                <c:pt idx="0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355-404A-8E5D-A78000471431}"/>
            </c:ext>
          </c:extLst>
        </c:ser>
        <c:ser>
          <c:idx val="5"/>
          <c:order val="5"/>
          <c:tx>
            <c:strRef>
              <c:f>선택!$W$3</c:f>
              <c:strCache>
                <c:ptCount val="1"/>
              </c:strCache>
            </c:strRef>
          </c:tx>
          <c:spPr>
            <a:pattFill prst="dkUpDiag">
              <a:fgClr>
                <a:schemeClr val="bg1">
                  <a:lumMod val="85000"/>
                </a:schemeClr>
              </a:fgClr>
              <a:bgClr>
                <a:schemeClr val="bg1"/>
              </a:bgClr>
            </a:patt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delete val="1"/>
          </c:dLbls>
          <c:cat>
            <c:strRef>
              <c:f>선택!$Q$4</c:f>
              <c:strCache>
                <c:ptCount val="1"/>
                <c:pt idx="0">
                  <c:v>갓피플주식회사</c:v>
                </c:pt>
              </c:strCache>
            </c:strRef>
          </c:cat>
          <c:val>
            <c:numRef>
              <c:f>선택!$W$4</c:f>
              <c:numCache>
                <c:formatCode>_-"₩"* #,##0.0_-;\-"₩"* #,##0.0_-;_-"₩"* "-"?_-;_-@_-</c:formatCode>
                <c:ptCount val="1"/>
                <c:pt idx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355-404A-8E5D-A78000471431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713400928"/>
        <c:axId val="713403808"/>
      </c:barChart>
      <c:catAx>
        <c:axId val="7134009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95000"/>
                    <a:lumOff val="5000"/>
                  </a:schemeClr>
                </a:solidFill>
                <a:latin typeface="KoPubWorld돋움체_Pro Medium" panose="00000600000000000000" pitchFamily="50" charset="-127"/>
                <a:ea typeface="KoPubWorld돋움체_Pro Medium" panose="00000600000000000000" pitchFamily="50" charset="-127"/>
                <a:cs typeface="KoPubWorld돋움체_Pro Medium" panose="00000600000000000000" pitchFamily="50" charset="-127"/>
              </a:defRPr>
            </a:pPr>
            <a:endParaRPr lang="ko-KR"/>
          </a:p>
        </c:txPr>
        <c:crossAx val="713403808"/>
        <c:crosses val="autoZero"/>
        <c:auto val="1"/>
        <c:lblAlgn val="ctr"/>
        <c:lblOffset val="100"/>
        <c:noMultiLvlLbl val="0"/>
      </c:catAx>
      <c:valAx>
        <c:axId val="713403808"/>
        <c:scaling>
          <c:orientation val="minMax"/>
        </c:scaling>
        <c:delete val="1"/>
        <c:axPos val="b"/>
        <c:numFmt formatCode="0%" sourceLinked="1"/>
        <c:majorTickMark val="none"/>
        <c:minorTickMark val="none"/>
        <c:tickLblPos val="nextTo"/>
        <c:crossAx val="713400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265944555047568"/>
          <c:y val="0.11030363832375256"/>
          <c:w val="0.69164240971997626"/>
          <c:h val="0.82604672573569216"/>
        </c:manualLayout>
      </c:layout>
      <c:radarChart>
        <c:radarStyle val="marker"/>
        <c:varyColors val="0"/>
        <c:ser>
          <c:idx val="2"/>
          <c:order val="0"/>
          <c:tx>
            <c:strRef>
              <c:f>선택!$P$11</c:f>
              <c:strCache>
                <c:ptCount val="1"/>
                <c:pt idx="0">
                  <c:v>갓피플주식회사</c:v>
                </c:pt>
              </c:strCache>
            </c:strRef>
          </c:tx>
          <c:spPr>
            <a:ln w="25400" cap="rnd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15875">
                <a:solidFill>
                  <a:srgbClr val="C00000"/>
                </a:solidFill>
              </a:ln>
              <a:effectLst/>
            </c:spPr>
          </c:marker>
          <c:dLbls>
            <c:dLbl>
              <c:idx val="0"/>
              <c:layout>
                <c:manualLayout>
                  <c:x val="4.9348695038796221E-2"/>
                  <c:y val="3.700672082913022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EE96-4BE3-9197-525A79E8856E}"/>
                </c:ext>
              </c:extLst>
            </c:dLbl>
            <c:dLbl>
              <c:idx val="1"/>
              <c:layout>
                <c:manualLayout>
                  <c:x val="-2.6772177043385196E-2"/>
                  <c:y val="7.4023933239349042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EE96-4BE3-9197-525A79E8856E}"/>
                </c:ext>
              </c:extLst>
            </c:dLbl>
            <c:dLbl>
              <c:idx val="2"/>
              <c:layout>
                <c:manualLayout>
                  <c:x val="-3.0890973511598304E-2"/>
                  <c:y val="-1.233732220655824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EE96-4BE3-9197-525A79E8856E}"/>
                </c:ext>
              </c:extLst>
            </c:dLbl>
            <c:dLbl>
              <c:idx val="3"/>
              <c:layout>
                <c:manualLayout>
                  <c:x val="-2.6772177043385196E-2"/>
                  <c:y val="-2.960957329573984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EE96-4BE3-9197-525A79E8856E}"/>
                </c:ext>
              </c:extLst>
            </c:dLbl>
            <c:dLbl>
              <c:idx val="4"/>
              <c:layout>
                <c:manualLayout>
                  <c:x val="-2.4712778809278642E-2"/>
                  <c:y val="1.233732220655824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EE96-4BE3-9197-525A79E8856E}"/>
                </c:ext>
              </c:extLst>
            </c:dLbl>
            <c:dLbl>
              <c:idx val="5"/>
              <c:layout>
                <c:manualLayout>
                  <c:x val="-3.7069168213918119E-2"/>
                  <c:y val="-4.934928882623299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EE96-4BE3-9197-525A79E8856E}"/>
                </c:ext>
              </c:extLst>
            </c:dLbl>
            <c:dLbl>
              <c:idx val="6"/>
              <c:layout>
                <c:manualLayout>
                  <c:x val="-3.7069168213917966E-2"/>
                  <c:y val="-2.714210885442823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5-EE96-4BE3-9197-525A79E8856E}"/>
                </c:ext>
              </c:extLst>
            </c:dLbl>
            <c:dLbl>
              <c:idx val="7"/>
              <c:layout>
                <c:manualLayout>
                  <c:x val="-4.4865256072152623E-2"/>
                  <c:y val="-2.710569197055683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6-EE96-4BE3-9197-525A79E8856E}"/>
                </c:ext>
              </c:extLst>
            </c:dLbl>
            <c:dLbl>
              <c:idx val="8"/>
              <c:layout>
                <c:manualLayout>
                  <c:x val="-7.5510396281365574E-17"/>
                  <c:y val="-3.207703773705153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7-EE96-4BE3-9197-525A79E8856E}"/>
                </c:ext>
              </c:extLst>
            </c:dLbl>
            <c:dLbl>
              <c:idx val="9"/>
              <c:layout>
                <c:manualLayout>
                  <c:x val="4.1187964682130691E-3"/>
                  <c:y val="-3.701196661967483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8-EE96-4BE3-9197-525A79E8856E}"/>
                </c:ext>
              </c:extLst>
            </c:dLbl>
            <c:dLbl>
              <c:idx val="10"/>
              <c:layout>
                <c:manualLayout>
                  <c:x val="1.2356389404639321E-2"/>
                  <c:y val="-2.467464441311649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9-EE96-4BE3-9197-525A79E8856E}"/>
                </c:ext>
              </c:extLst>
            </c:dLbl>
            <c:dLbl>
              <c:idx val="11"/>
              <c:layout>
                <c:manualLayout>
                  <c:x val="1.8534584106958983E-2"/>
                  <c:y val="-1.48047866478698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A-EE96-4BE3-9197-525A79E8856E}"/>
                </c:ext>
              </c:extLst>
            </c:dLbl>
            <c:dLbl>
              <c:idx val="12"/>
              <c:layout>
                <c:manualLayout>
                  <c:x val="2.4605268492017728E-2"/>
                  <c:y val="4.9716494164349454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B-EE96-4BE3-9197-525A79E8856E}"/>
                </c:ext>
              </c:extLst>
            </c:dLbl>
            <c:dLbl>
              <c:idx val="13"/>
              <c:layout>
                <c:manualLayout>
                  <c:x val="-4.1187964682131827E-3"/>
                  <c:y val="2.220717997180484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C-EE96-4BE3-9197-525A79E8856E}"/>
                </c:ext>
              </c:extLst>
            </c:dLbl>
            <c:numFmt formatCode="0.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rgbClr val="C00000"/>
                    </a:solidFill>
                    <a:latin typeface="KoPubWorld돋움체_Pro Medium" panose="00000600000000000000" pitchFamily="50" charset="-127"/>
                    <a:ea typeface="KoPubWorld돋움체_Pro Medium" panose="00000600000000000000" pitchFamily="50" charset="-127"/>
                    <a:cs typeface="KoPubWorld돋움체_Pro Medium" panose="00000600000000000000" pitchFamily="50" charset="-127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선택!$K$12:$K$25</c:f>
              <c:strCache>
                <c:ptCount val="14"/>
                <c:pt idx="0">
                  <c:v>지표1</c:v>
                </c:pt>
                <c:pt idx="1">
                  <c:v>지표2</c:v>
                </c:pt>
                <c:pt idx="2">
                  <c:v>지표3</c:v>
                </c:pt>
                <c:pt idx="3">
                  <c:v>지표4</c:v>
                </c:pt>
                <c:pt idx="4">
                  <c:v>지표5</c:v>
                </c:pt>
                <c:pt idx="5">
                  <c:v>지표6</c:v>
                </c:pt>
                <c:pt idx="6">
                  <c:v>지표7</c:v>
                </c:pt>
                <c:pt idx="7">
                  <c:v>지표8</c:v>
                </c:pt>
                <c:pt idx="8">
                  <c:v>지표9</c:v>
                </c:pt>
                <c:pt idx="9">
                  <c:v>지표10</c:v>
                </c:pt>
                <c:pt idx="10">
                  <c:v>지표11</c:v>
                </c:pt>
                <c:pt idx="11">
                  <c:v>지표12</c:v>
                </c:pt>
                <c:pt idx="12">
                  <c:v>지표13</c:v>
                </c:pt>
                <c:pt idx="13">
                  <c:v>지표14</c:v>
                </c:pt>
              </c:strCache>
            </c:strRef>
          </c:cat>
          <c:val>
            <c:numRef>
              <c:f>선택!$P$12:$P$25</c:f>
              <c:numCache>
                <c:formatCode>General</c:formatCode>
                <c:ptCount val="14"/>
                <c:pt idx="0">
                  <c:v>100</c:v>
                </c:pt>
                <c:pt idx="1">
                  <c:v>100</c:v>
                </c:pt>
                <c:pt idx="2">
                  <c:v>93.333333333333329</c:v>
                </c:pt>
                <c:pt idx="3">
                  <c:v>100</c:v>
                </c:pt>
                <c:pt idx="4">
                  <c:v>100</c:v>
                </c:pt>
                <c:pt idx="5">
                  <c:v>100</c:v>
                </c:pt>
                <c:pt idx="6">
                  <c:v>100</c:v>
                </c:pt>
                <c:pt idx="7">
                  <c:v>100</c:v>
                </c:pt>
                <c:pt idx="8">
                  <c:v>100</c:v>
                </c:pt>
                <c:pt idx="9">
                  <c:v>73</c:v>
                </c:pt>
                <c:pt idx="10">
                  <c:v>68</c:v>
                </c:pt>
                <c:pt idx="11">
                  <c:v>70</c:v>
                </c:pt>
                <c:pt idx="12">
                  <c:v>70</c:v>
                </c:pt>
                <c:pt idx="13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EE96-4BE3-9197-525A79E8856E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axId val="536300895"/>
        <c:axId val="536312543"/>
        <c:extLst/>
      </c:radarChart>
      <c:catAx>
        <c:axId val="536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95000"/>
                    <a:lumOff val="5000"/>
                  </a:schemeClr>
                </a:solidFill>
                <a:latin typeface="KoPubWorld돋움체_Pro Medium" panose="00000600000000000000" pitchFamily="50" charset="-127"/>
                <a:ea typeface="KoPubWorld돋움체_Pro Medium" panose="00000600000000000000" pitchFamily="50" charset="-127"/>
                <a:cs typeface="KoPubWorld돋움체_Pro Medium" panose="00000600000000000000" pitchFamily="50" charset="-127"/>
              </a:defRPr>
            </a:pPr>
            <a:endParaRPr lang="ko-KR"/>
          </a:p>
        </c:txPr>
        <c:crossAx val="536312543"/>
        <c:crosses val="autoZero"/>
        <c:auto val="1"/>
        <c:lblAlgn val="ctr"/>
        <c:lblOffset val="100"/>
        <c:noMultiLvlLbl val="0"/>
      </c:catAx>
      <c:valAx>
        <c:axId val="536312543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363008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t"/>
      <c:layout>
        <c:manualLayout>
          <c:xMode val="edge"/>
          <c:yMode val="edge"/>
          <c:x val="0.66718411879037776"/>
          <c:y val="1.3411290409979014E-2"/>
          <c:w val="0.2985519720881456"/>
          <c:h val="8.676608180796838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50" b="0" i="0" u="none" strike="noStrike" kern="1200" baseline="0">
              <a:solidFill>
                <a:schemeClr val="tx1">
                  <a:lumMod val="95000"/>
                  <a:lumOff val="5000"/>
                </a:schemeClr>
              </a:solidFill>
              <a:latin typeface="KoPubWorld돋움체_Pro Medium" panose="00000600000000000000" pitchFamily="50" charset="-127"/>
              <a:ea typeface="KoPubWorld돋움체_Pro Medium" panose="00000600000000000000" pitchFamily="50" charset="-127"/>
              <a:cs typeface="KoPubWorld돋움체_Pro Medium" panose="00000600000000000000" pitchFamily="50" charset="-127"/>
            </a:defRPr>
          </a:pPr>
          <a:endParaRPr lang="ko-KR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chemeClr val="tx1">
              <a:lumMod val="95000"/>
              <a:lumOff val="5000"/>
            </a:schemeClr>
          </a:solidFill>
          <a:latin typeface="KoPubWorld돋움체_Pro Medium" panose="00000600000000000000" pitchFamily="50" charset="-127"/>
          <a:ea typeface="KoPubWorld돋움체_Pro Medium" panose="00000600000000000000" pitchFamily="50" charset="-127"/>
          <a:cs typeface="KoPubWorld돋움체_Pro Medium" panose="00000600000000000000" pitchFamily="50" charset="-127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>
        <c:manualLayout>
          <c:layoutTarget val="inner"/>
          <c:xMode val="edge"/>
          <c:yMode val="edge"/>
          <c:x val="8.5179742898829944E-2"/>
          <c:y val="5.9761870212392217E-2"/>
          <c:w val="0.88696334313277214"/>
          <c:h val="0.4347700429491768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선택!$L$27</c:f>
              <c:strCache>
                <c:ptCount val="1"/>
                <c:pt idx="0">
                  <c:v>점수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dPt>
            <c:idx val="0"/>
            <c:invertIfNegative val="0"/>
            <c:bubble3D val="0"/>
            <c:spPr>
              <a:solidFill>
                <a:srgbClr val="C00000"/>
              </a:solidFill>
              <a:ln>
                <a:solidFill>
                  <a:schemeClr val="bg1">
                    <a:lumMod val="85000"/>
                  </a:schemeClr>
                </a:solidFill>
              </a:ln>
              <a:effectLst>
                <a:innerShdw blurRad="114300">
                  <a:schemeClr val="accent1"/>
                </a:innerShdw>
              </a:effectLst>
            </c:spPr>
            <c:extLst>
              <c:ext xmlns:c16="http://schemas.microsoft.com/office/drawing/2014/chart" uri="{C3380CC4-5D6E-409C-BE32-E72D297353CC}">
                <c16:uniqueId val="{00000001-8F35-4298-AD39-C4458A30EE23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700" b="1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나눔고딕OTF" panose="020D0604000000000000" pitchFamily="34" charset="-127"/>
                      <a:ea typeface="나눔고딕OTF" panose="020D0604000000000000" pitchFamily="34" charset="-127"/>
                      <a:cs typeface="+mn-cs"/>
                    </a:defRPr>
                  </a:pPr>
                  <a:endParaRPr lang="ko-KR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1-8F35-4298-AD39-C4458A30EE23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나눔고딕OTF" panose="020D0604000000000000" pitchFamily="34" charset="-127"/>
                    <a:ea typeface="나눔고딕OTF" panose="020D0604000000000000" pitchFamily="34" charset="-127"/>
                    <a:cs typeface="+mn-cs"/>
                  </a:defRPr>
                </a:pPr>
                <a:endParaRPr lang="ko-K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선택!$K$28:$K$45</c:f>
              <c:strCache>
                <c:ptCount val="18"/>
                <c:pt idx="0">
                  <c:v>갓피플주식회사</c:v>
                </c:pt>
                <c:pt idx="1">
                  <c:v>농업, 임업 및 어업(A)</c:v>
                </c:pt>
                <c:pt idx="2">
                  <c:v>제조업(C)</c:v>
                </c:pt>
                <c:pt idx="3">
                  <c:v>수도, 하수, 폐기물처리, 원료재생업(E)</c:v>
                </c:pt>
                <c:pt idx="4">
                  <c:v>운수업(H)</c:v>
                </c:pt>
                <c:pt idx="5">
                  <c:v>예술, 스포츠 및 여가관련 서비스업(R) </c:v>
                </c:pt>
                <c:pt idx="6">
                  <c:v>숙박 및 음식점업(I)</c:v>
                </c:pt>
                <c:pt idx="7">
                  <c:v>정보통신업(J)</c:v>
                </c:pt>
                <c:pt idx="8">
                  <c:v>부동산업(L)</c:v>
                </c:pt>
                <c:pt idx="9">
                  <c:v>전문, 과학 및 기술 서비스업(M)</c:v>
                </c:pt>
                <c:pt idx="10">
                  <c:v>사업시설 관리, 사업 지원 및 임대 서비스업(N)</c:v>
                </c:pt>
                <c:pt idx="11">
                  <c:v>교육 서비스업(P)</c:v>
                </c:pt>
                <c:pt idx="12">
                  <c:v>보건업 및 사회복지 서비스업(Q)</c:v>
                </c:pt>
                <c:pt idx="13">
                  <c:v>건설업(F)</c:v>
                </c:pt>
                <c:pt idx="14">
                  <c:v>협회 및 단체, 수리 및 개인 서비스업(S)</c:v>
                </c:pt>
                <c:pt idx="15">
                  <c:v>전기, 가스, 증기 및 공기조절 공급업(D)</c:v>
                </c:pt>
                <c:pt idx="16">
                  <c:v>도매 및 소매업(G)</c:v>
                </c:pt>
                <c:pt idx="17">
                  <c:v>전체평균</c:v>
                </c:pt>
              </c:strCache>
            </c:strRef>
          </c:cat>
          <c:val>
            <c:numRef>
              <c:f>선택!$L$28:$L$45</c:f>
              <c:numCache>
                <c:formatCode>0.00</c:formatCode>
                <c:ptCount val="18"/>
                <c:pt idx="0">
                  <c:v>90.1</c:v>
                </c:pt>
                <c:pt idx="1">
                  <c:v>53.29999999999999</c:v>
                </c:pt>
                <c:pt idx="2">
                  <c:v>54.02121212121213</c:v>
                </c:pt>
                <c:pt idx="3">
                  <c:v>44</c:v>
                </c:pt>
                <c:pt idx="4">
                  <c:v>64.8</c:v>
                </c:pt>
                <c:pt idx="5">
                  <c:v>49.79999999999999</c:v>
                </c:pt>
                <c:pt idx="6">
                  <c:v>52.466666666666669</c:v>
                </c:pt>
                <c:pt idx="7">
                  <c:v>46.771428571428565</c:v>
                </c:pt>
                <c:pt idx="8">
                  <c:v>61.8</c:v>
                </c:pt>
                <c:pt idx="9">
                  <c:v>39.08</c:v>
                </c:pt>
                <c:pt idx="10">
                  <c:v>61.234782608695646</c:v>
                </c:pt>
                <c:pt idx="11">
                  <c:v>53.986440677966122</c:v>
                </c:pt>
                <c:pt idx="12">
                  <c:v>61.656000000000013</c:v>
                </c:pt>
                <c:pt idx="13">
                  <c:v>61.485714285714302</c:v>
                </c:pt>
                <c:pt idx="14">
                  <c:v>56.333333333333336</c:v>
                </c:pt>
                <c:pt idx="15">
                  <c:v>61.400000000000006</c:v>
                </c:pt>
                <c:pt idx="16">
                  <c:v>51.3217391304348</c:v>
                </c:pt>
                <c:pt idx="17">
                  <c:v>54.9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F35-4298-AD39-C4458A30EE23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64"/>
        <c:overlap val="-22"/>
        <c:axId val="845303184"/>
        <c:axId val="845303664"/>
      </c:barChart>
      <c:catAx>
        <c:axId val="8453031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나눔고딕OTF" panose="020D0604000000000000" pitchFamily="34" charset="-127"/>
                <a:ea typeface="나눔고딕OTF" panose="020D0604000000000000" pitchFamily="34" charset="-127"/>
                <a:cs typeface="+mn-cs"/>
              </a:defRPr>
            </a:pPr>
            <a:endParaRPr lang="ko-KR"/>
          </a:p>
        </c:txPr>
        <c:crossAx val="845303664"/>
        <c:crosses val="autoZero"/>
        <c:auto val="1"/>
        <c:lblAlgn val="ctr"/>
        <c:lblOffset val="100"/>
        <c:noMultiLvlLbl val="0"/>
      </c:catAx>
      <c:valAx>
        <c:axId val="845303664"/>
        <c:scaling>
          <c:orientation val="minMax"/>
        </c:scaling>
        <c:delete val="1"/>
        <c:axPos val="l"/>
        <c:numFmt formatCode="0.00" sourceLinked="1"/>
        <c:majorTickMark val="none"/>
        <c:minorTickMark val="none"/>
        <c:tickLblPos val="nextTo"/>
        <c:crossAx val="8453031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1.4010320491397223E-2"/>
          <c:y val="0.11030363832375256"/>
          <c:w val="0.98598967950860272"/>
          <c:h val="0.67137359199475088"/>
        </c:manualLayout>
      </c:layout>
      <c:bar3DChart>
        <c:barDir val="col"/>
        <c:grouping val="clustered"/>
        <c:varyColors val="0"/>
        <c:ser>
          <c:idx val="2"/>
          <c:order val="0"/>
          <c:tx>
            <c:strRef>
              <c:f>선택!$P$11</c:f>
              <c:strCache>
                <c:ptCount val="1"/>
                <c:pt idx="0">
                  <c:v>갓피플주식회사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dLbls>
            <c:numFmt formatCode="#,##0_);[Red]\(#,##0\)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0" tIns="0" rIns="0" bIns="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KoPubWorld돋움체_Pro Bold" panose="00000800000000000000" pitchFamily="50" charset="-127"/>
                    <a:ea typeface="KoPubWorld돋움체_Pro Bold" panose="00000800000000000000" pitchFamily="50" charset="-127"/>
                    <a:cs typeface="KoPubWorld돋움체_Pro Bold" panose="00000800000000000000" pitchFamily="50" charset="-127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선택!$K$12:$K$25</c:f>
              <c:strCache>
                <c:ptCount val="14"/>
                <c:pt idx="0">
                  <c:v>지표1</c:v>
                </c:pt>
                <c:pt idx="1">
                  <c:v>지표2</c:v>
                </c:pt>
                <c:pt idx="2">
                  <c:v>지표3</c:v>
                </c:pt>
                <c:pt idx="3">
                  <c:v>지표4</c:v>
                </c:pt>
                <c:pt idx="4">
                  <c:v>지표5</c:v>
                </c:pt>
                <c:pt idx="5">
                  <c:v>지표6</c:v>
                </c:pt>
                <c:pt idx="6">
                  <c:v>지표7</c:v>
                </c:pt>
                <c:pt idx="7">
                  <c:v>지표8</c:v>
                </c:pt>
                <c:pt idx="8">
                  <c:v>지표9</c:v>
                </c:pt>
                <c:pt idx="9">
                  <c:v>지표10</c:v>
                </c:pt>
                <c:pt idx="10">
                  <c:v>지표11</c:v>
                </c:pt>
                <c:pt idx="11">
                  <c:v>지표12</c:v>
                </c:pt>
                <c:pt idx="12">
                  <c:v>지표13</c:v>
                </c:pt>
                <c:pt idx="13">
                  <c:v>지표14</c:v>
                </c:pt>
              </c:strCache>
            </c:strRef>
          </c:cat>
          <c:val>
            <c:numRef>
              <c:f>선택!$P$12:$P$25</c:f>
              <c:numCache>
                <c:formatCode>General</c:formatCode>
                <c:ptCount val="14"/>
                <c:pt idx="0">
                  <c:v>100</c:v>
                </c:pt>
                <c:pt idx="1">
                  <c:v>100</c:v>
                </c:pt>
                <c:pt idx="2">
                  <c:v>93.333333333333329</c:v>
                </c:pt>
                <c:pt idx="3">
                  <c:v>100</c:v>
                </c:pt>
                <c:pt idx="4">
                  <c:v>100</c:v>
                </c:pt>
                <c:pt idx="5">
                  <c:v>100</c:v>
                </c:pt>
                <c:pt idx="6">
                  <c:v>100</c:v>
                </c:pt>
                <c:pt idx="7">
                  <c:v>100</c:v>
                </c:pt>
                <c:pt idx="8">
                  <c:v>100</c:v>
                </c:pt>
                <c:pt idx="9">
                  <c:v>73</c:v>
                </c:pt>
                <c:pt idx="10">
                  <c:v>68</c:v>
                </c:pt>
                <c:pt idx="11">
                  <c:v>70</c:v>
                </c:pt>
                <c:pt idx="12">
                  <c:v>70</c:v>
                </c:pt>
                <c:pt idx="13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209D-47E6-8585-D7C723673B4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536300895"/>
        <c:axId val="536312543"/>
        <c:axId val="0"/>
      </c:bar3DChart>
      <c:catAx>
        <c:axId val="536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KoPubWorld돋움체_Pro Bold" panose="00000800000000000000" pitchFamily="50" charset="-127"/>
                <a:ea typeface="KoPubWorld돋움체_Pro Bold" panose="00000800000000000000" pitchFamily="50" charset="-127"/>
                <a:cs typeface="KoPubWorld돋움체_Pro Bold" panose="00000800000000000000" pitchFamily="50" charset="-127"/>
              </a:defRPr>
            </a:pPr>
            <a:endParaRPr lang="ko-KR"/>
          </a:p>
        </c:txPr>
        <c:crossAx val="536312543"/>
        <c:crosses val="autoZero"/>
        <c:auto val="1"/>
        <c:lblAlgn val="ctr"/>
        <c:lblOffset val="100"/>
        <c:noMultiLvlLbl val="0"/>
      </c:catAx>
      <c:valAx>
        <c:axId val="536312543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crossAx val="5363008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ayout>
        <c:manualLayout>
          <c:xMode val="edge"/>
          <c:yMode val="edge"/>
          <c:x val="0.13059162962409177"/>
          <c:y val="0.87933234950251282"/>
          <c:w val="0.74094559225486945"/>
          <c:h val="9.251949961305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KoPubWorld돋움체_Pro Medium" panose="00000600000000000000" pitchFamily="50" charset="-127"/>
              <a:ea typeface="KoPubWorld돋움체_Pro Medium" panose="00000600000000000000" pitchFamily="50" charset="-127"/>
              <a:cs typeface="KoPubWorld돋움체_Pro Medium" panose="00000600000000000000" pitchFamily="50" charset="-127"/>
            </a:defRPr>
          </a:pPr>
          <a:endParaRPr lang="ko-KR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1.4010320491397223E-2"/>
          <c:y val="0.11030363832375256"/>
          <c:w val="0.98598967950860272"/>
          <c:h val="0.67137359199475088"/>
        </c:manualLayout>
      </c:layout>
      <c:bar3DChart>
        <c:barDir val="col"/>
        <c:grouping val="clustered"/>
        <c:varyColors val="0"/>
        <c:ser>
          <c:idx val="2"/>
          <c:order val="0"/>
          <c:tx>
            <c:strRef>
              <c:f>선택!$P$11</c:f>
              <c:strCache>
                <c:ptCount val="1"/>
                <c:pt idx="0">
                  <c:v>갓피플주식회사</c:v>
                </c:pt>
              </c:strCache>
            </c:strRef>
          </c:tx>
          <c:spPr>
            <a:solidFill>
              <a:schemeClr val="tx2">
                <a:lumMod val="60000"/>
                <a:lumOff val="40000"/>
              </a:schemeClr>
            </a:solidFill>
            <a:ln>
              <a:noFill/>
            </a:ln>
            <a:effectLst/>
            <a:sp3d/>
          </c:spPr>
          <c:invertIfNegative val="0"/>
          <c:dLbls>
            <c:numFmt formatCode="#,##0_);[Red]\(#,##0\)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0" tIns="0" rIns="0" bIns="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KoPubWorld돋움체_Pro Bold" panose="00000800000000000000" pitchFamily="50" charset="-127"/>
                    <a:ea typeface="KoPubWorld돋움체_Pro Bold" panose="00000800000000000000" pitchFamily="50" charset="-127"/>
                    <a:cs typeface="KoPubWorld돋움체_Pro Bold" panose="00000800000000000000" pitchFamily="50" charset="-127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</c15:spPr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선택!$K$12:$K$25</c:f>
              <c:strCache>
                <c:ptCount val="14"/>
                <c:pt idx="0">
                  <c:v>지표1</c:v>
                </c:pt>
                <c:pt idx="1">
                  <c:v>지표2</c:v>
                </c:pt>
                <c:pt idx="2">
                  <c:v>지표3</c:v>
                </c:pt>
                <c:pt idx="3">
                  <c:v>지표4</c:v>
                </c:pt>
                <c:pt idx="4">
                  <c:v>지표5</c:v>
                </c:pt>
                <c:pt idx="5">
                  <c:v>지표6</c:v>
                </c:pt>
                <c:pt idx="6">
                  <c:v>지표7</c:v>
                </c:pt>
                <c:pt idx="7">
                  <c:v>지표8</c:v>
                </c:pt>
                <c:pt idx="8">
                  <c:v>지표9</c:v>
                </c:pt>
                <c:pt idx="9">
                  <c:v>지표10</c:v>
                </c:pt>
                <c:pt idx="10">
                  <c:v>지표11</c:v>
                </c:pt>
                <c:pt idx="11">
                  <c:v>지표12</c:v>
                </c:pt>
                <c:pt idx="12">
                  <c:v>지표13</c:v>
                </c:pt>
                <c:pt idx="13">
                  <c:v>지표14</c:v>
                </c:pt>
              </c:strCache>
            </c:strRef>
          </c:cat>
          <c:val>
            <c:numRef>
              <c:f>선택!$P$12:$P$25</c:f>
              <c:numCache>
                <c:formatCode>General</c:formatCode>
                <c:ptCount val="14"/>
                <c:pt idx="0">
                  <c:v>100</c:v>
                </c:pt>
                <c:pt idx="1">
                  <c:v>100</c:v>
                </c:pt>
                <c:pt idx="2">
                  <c:v>93.333333333333329</c:v>
                </c:pt>
                <c:pt idx="3">
                  <c:v>100</c:v>
                </c:pt>
                <c:pt idx="4">
                  <c:v>100</c:v>
                </c:pt>
                <c:pt idx="5">
                  <c:v>100</c:v>
                </c:pt>
                <c:pt idx="6">
                  <c:v>100</c:v>
                </c:pt>
                <c:pt idx="7">
                  <c:v>100</c:v>
                </c:pt>
                <c:pt idx="8">
                  <c:v>100</c:v>
                </c:pt>
                <c:pt idx="9">
                  <c:v>73</c:v>
                </c:pt>
                <c:pt idx="10">
                  <c:v>68</c:v>
                </c:pt>
                <c:pt idx="11">
                  <c:v>70</c:v>
                </c:pt>
                <c:pt idx="12">
                  <c:v>70</c:v>
                </c:pt>
                <c:pt idx="13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83D-4BC2-ABD1-2BD7DC2BE12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536300895"/>
        <c:axId val="536312543"/>
        <c:axId val="0"/>
      </c:bar3DChart>
      <c:catAx>
        <c:axId val="5363008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KoPubWorld돋움체_Pro Bold" panose="00000800000000000000" pitchFamily="50" charset="-127"/>
                <a:ea typeface="KoPubWorld돋움체_Pro Bold" panose="00000800000000000000" pitchFamily="50" charset="-127"/>
                <a:cs typeface="KoPubWorld돋움체_Pro Bold" panose="00000800000000000000" pitchFamily="50" charset="-127"/>
              </a:defRPr>
            </a:pPr>
            <a:endParaRPr lang="ko-KR"/>
          </a:p>
        </c:txPr>
        <c:crossAx val="536312543"/>
        <c:crosses val="autoZero"/>
        <c:auto val="1"/>
        <c:lblAlgn val="ctr"/>
        <c:lblOffset val="100"/>
        <c:noMultiLvlLbl val="0"/>
      </c:catAx>
      <c:valAx>
        <c:axId val="536312543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crossAx val="536300895"/>
        <c:crosses val="autoZero"/>
        <c:crossBetween val="between"/>
      </c:valAx>
      <c:spPr>
        <a:noFill/>
        <a:ln w="25400">
          <a:noFill/>
        </a:ln>
        <a:effectLst/>
      </c:spPr>
    </c:plotArea>
    <c:legend>
      <c:legendPos val="b"/>
      <c:layout>
        <c:manualLayout>
          <c:xMode val="edge"/>
          <c:yMode val="edge"/>
          <c:x val="0.13059162962409177"/>
          <c:y val="0.87933234950251282"/>
          <c:w val="0.74094559225486945"/>
          <c:h val="9.251949961305527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KoPubWorld돋움체_Pro Medium" panose="00000600000000000000" pitchFamily="50" charset="-127"/>
              <a:ea typeface="KoPubWorld돋움체_Pro Medium" panose="00000600000000000000" pitchFamily="50" charset="-127"/>
              <a:cs typeface="KoPubWorld돋움체_Pro Medium" panose="00000600000000000000" pitchFamily="50" charset="-127"/>
            </a:defRPr>
          </a:pPr>
          <a:endParaRPr lang="ko-KR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02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.xml"/><Relationship Id="rId3" Type="http://schemas.openxmlformats.org/officeDocument/2006/relationships/image" Target="../media/image2.emf"/><Relationship Id="rId7" Type="http://schemas.openxmlformats.org/officeDocument/2006/relationships/chart" Target="../charts/chart3.xml"/><Relationship Id="rId2" Type="http://schemas.openxmlformats.org/officeDocument/2006/relationships/image" Target="../media/image1.emf"/><Relationship Id="rId1" Type="http://schemas.openxmlformats.org/officeDocument/2006/relationships/chart" Target="../charts/chart1.xml"/><Relationship Id="rId6" Type="http://schemas.openxmlformats.org/officeDocument/2006/relationships/chart" Target="../charts/chart2.xml"/><Relationship Id="rId5" Type="http://schemas.openxmlformats.org/officeDocument/2006/relationships/image" Target="../media/image4.png"/><Relationship Id="rId10" Type="http://schemas.openxmlformats.org/officeDocument/2006/relationships/chart" Target="../charts/chart5.xml"/><Relationship Id="rId4" Type="http://schemas.openxmlformats.org/officeDocument/2006/relationships/image" Target="../media/image3.emf"/><Relationship Id="rId9" Type="http://schemas.openxmlformats.org/officeDocument/2006/relationships/image" Target="../media/image5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emf"/><Relationship Id="rId13" Type="http://schemas.openxmlformats.org/officeDocument/2006/relationships/image" Target="../media/image22.png"/><Relationship Id="rId3" Type="http://schemas.openxmlformats.org/officeDocument/2006/relationships/image" Target="../media/image13.emf"/><Relationship Id="rId7" Type="http://schemas.openxmlformats.org/officeDocument/2006/relationships/image" Target="../media/image16.emf"/><Relationship Id="rId12" Type="http://schemas.openxmlformats.org/officeDocument/2006/relationships/image" Target="../media/image21.png"/><Relationship Id="rId2" Type="http://schemas.openxmlformats.org/officeDocument/2006/relationships/image" Target="../media/image12.emf"/><Relationship Id="rId1" Type="http://schemas.openxmlformats.org/officeDocument/2006/relationships/image" Target="../media/image11.emf"/><Relationship Id="rId6" Type="http://schemas.openxmlformats.org/officeDocument/2006/relationships/image" Target="../media/image15.emf"/><Relationship Id="rId11" Type="http://schemas.openxmlformats.org/officeDocument/2006/relationships/image" Target="../media/image20.emf"/><Relationship Id="rId5" Type="http://schemas.openxmlformats.org/officeDocument/2006/relationships/chart" Target="../charts/chart6.xml"/><Relationship Id="rId10" Type="http://schemas.openxmlformats.org/officeDocument/2006/relationships/image" Target="../media/image19.emf"/><Relationship Id="rId4" Type="http://schemas.openxmlformats.org/officeDocument/2006/relationships/image" Target="../media/image14.emf"/><Relationship Id="rId9" Type="http://schemas.openxmlformats.org/officeDocument/2006/relationships/image" Target="../media/image18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5.emf"/><Relationship Id="rId7" Type="http://schemas.openxmlformats.org/officeDocument/2006/relationships/image" Target="../media/image38.emf"/><Relationship Id="rId2" Type="http://schemas.openxmlformats.org/officeDocument/2006/relationships/image" Target="../media/image34.emf"/><Relationship Id="rId1" Type="http://schemas.openxmlformats.org/officeDocument/2006/relationships/image" Target="../media/image33.emf"/><Relationship Id="rId6" Type="http://schemas.openxmlformats.org/officeDocument/2006/relationships/image" Target="../media/image37.emf"/><Relationship Id="rId5" Type="http://schemas.openxmlformats.org/officeDocument/2006/relationships/image" Target="../media/image36.emf"/><Relationship Id="rId4" Type="http://schemas.openxmlformats.org/officeDocument/2006/relationships/chart" Target="../charts/chart7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8.emf"/><Relationship Id="rId2" Type="http://schemas.openxmlformats.org/officeDocument/2006/relationships/image" Target="../media/image7.emf"/><Relationship Id="rId1" Type="http://schemas.openxmlformats.org/officeDocument/2006/relationships/image" Target="../media/image6.emf"/><Relationship Id="rId4" Type="http://schemas.openxmlformats.org/officeDocument/2006/relationships/image" Target="../media/image9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30.emf"/><Relationship Id="rId3" Type="http://schemas.openxmlformats.org/officeDocument/2006/relationships/image" Target="../media/image25.emf"/><Relationship Id="rId7" Type="http://schemas.openxmlformats.org/officeDocument/2006/relationships/image" Target="../media/image29.emf"/><Relationship Id="rId2" Type="http://schemas.openxmlformats.org/officeDocument/2006/relationships/image" Target="../media/image24.emf"/><Relationship Id="rId1" Type="http://schemas.openxmlformats.org/officeDocument/2006/relationships/image" Target="../media/image23.emf"/><Relationship Id="rId6" Type="http://schemas.openxmlformats.org/officeDocument/2006/relationships/image" Target="../media/image28.emf"/><Relationship Id="rId5" Type="http://schemas.openxmlformats.org/officeDocument/2006/relationships/image" Target="../media/image27.emf"/><Relationship Id="rId10" Type="http://schemas.openxmlformats.org/officeDocument/2006/relationships/image" Target="../media/image32.emf"/><Relationship Id="rId4" Type="http://schemas.openxmlformats.org/officeDocument/2006/relationships/image" Target="../media/image26.emf"/><Relationship Id="rId9" Type="http://schemas.openxmlformats.org/officeDocument/2006/relationships/image" Target="../media/image31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42.emf"/><Relationship Id="rId2" Type="http://schemas.openxmlformats.org/officeDocument/2006/relationships/image" Target="../media/image41.emf"/><Relationship Id="rId1" Type="http://schemas.openxmlformats.org/officeDocument/2006/relationships/image" Target="../media/image40.emf"/><Relationship Id="rId6" Type="http://schemas.openxmlformats.org/officeDocument/2006/relationships/image" Target="../media/image45.emf"/><Relationship Id="rId5" Type="http://schemas.openxmlformats.org/officeDocument/2006/relationships/image" Target="../media/image44.emf"/><Relationship Id="rId4" Type="http://schemas.openxmlformats.org/officeDocument/2006/relationships/image" Target="../media/image4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17970</xdr:colOff>
      <xdr:row>8</xdr:row>
      <xdr:rowOff>17974</xdr:rowOff>
    </xdr:from>
    <xdr:to>
      <xdr:col>19</xdr:col>
      <xdr:colOff>80872</xdr:colOff>
      <xdr:row>23</xdr:row>
      <xdr:rowOff>71888</xdr:rowOff>
    </xdr:to>
    <xdr:graphicFrame macro="">
      <xdr:nvGraphicFramePr>
        <xdr:cNvPr id="13" name="차트 12">
          <a:extLst>
            <a:ext uri="{FF2B5EF4-FFF2-40B4-BE49-F238E27FC236}">
              <a16:creationId xmlns:a16="http://schemas.microsoft.com/office/drawing/2014/main" id="{C54D93B5-2E13-4262-85DE-17120156F61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15873</xdr:colOff>
          <xdr:row>8</xdr:row>
          <xdr:rowOff>31750</xdr:rowOff>
        </xdr:from>
        <xdr:to>
          <xdr:col>10</xdr:col>
          <xdr:colOff>190499</xdr:colOff>
          <xdr:row>15</xdr:row>
          <xdr:rowOff>95249</xdr:rowOff>
        </xdr:to>
        <xdr:pic>
          <xdr:nvPicPr>
            <xdr:cNvPr id="2" name="그림 1">
              <a:extLst>
                <a:ext uri="{FF2B5EF4-FFF2-40B4-BE49-F238E27FC236}">
                  <a16:creationId xmlns:a16="http://schemas.microsoft.com/office/drawing/2014/main" id="{D7626FDF-8FAC-00B4-310E-EC7A1443D7C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V$27:$AS$31" spid="_x0000_s4594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288016" y="1610179"/>
              <a:ext cx="4950733" cy="120649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29367</xdr:colOff>
          <xdr:row>17</xdr:row>
          <xdr:rowOff>130968</xdr:rowOff>
        </xdr:from>
        <xdr:to>
          <xdr:col>10</xdr:col>
          <xdr:colOff>185260</xdr:colOff>
          <xdr:row>42</xdr:row>
          <xdr:rowOff>163023</xdr:rowOff>
        </xdr:to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5D921072-61AB-2E4E-14FD-355365ECE49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V$33:$AS$48" spid="_x0000_s45950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301510" y="3178968"/>
              <a:ext cx="4932000" cy="452241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0</xdr:col>
      <xdr:colOff>250559</xdr:colOff>
      <xdr:row>6</xdr:row>
      <xdr:rowOff>138904</xdr:rowOff>
    </xdr:from>
    <xdr:to>
      <xdr:col>3</xdr:col>
      <xdr:colOff>51592</xdr:colOff>
      <xdr:row>7</xdr:row>
      <xdr:rowOff>201083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F392AD4A-070F-C51C-E62E-4E3B703E92DB}"/>
            </a:ext>
          </a:extLst>
        </xdr:cNvPr>
        <xdr:cNvSpPr txBox="1"/>
      </xdr:nvSpPr>
      <xdr:spPr>
        <a:xfrm>
          <a:off x="250559" y="1297779"/>
          <a:ext cx="1309158" cy="2526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기업개요 </a:t>
          </a:r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1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0</xdr:col>
      <xdr:colOff>238918</xdr:colOff>
      <xdr:row>16</xdr:row>
      <xdr:rowOff>29368</xdr:rowOff>
    </xdr:from>
    <xdr:to>
      <xdr:col>3</xdr:col>
      <xdr:colOff>39951</xdr:colOff>
      <xdr:row>17</xdr:row>
      <xdr:rowOff>95516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BAE3E8B-DDB1-4B88-982B-319C4A4BC470}"/>
            </a:ext>
          </a:extLst>
        </xdr:cNvPr>
        <xdr:cNvSpPr txBox="1"/>
      </xdr:nvSpPr>
      <xdr:spPr>
        <a:xfrm>
          <a:off x="238918" y="2855118"/>
          <a:ext cx="1309158" cy="22489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측정결과 </a:t>
          </a:r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1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24186</xdr:colOff>
          <xdr:row>43</xdr:row>
          <xdr:rowOff>63501</xdr:rowOff>
        </xdr:from>
        <xdr:to>
          <xdr:col>10</xdr:col>
          <xdr:colOff>180716</xdr:colOff>
          <xdr:row>44</xdr:row>
          <xdr:rowOff>152580</xdr:rowOff>
        </xdr:to>
        <xdr:pic>
          <xdr:nvPicPr>
            <xdr:cNvPr id="6" name="그림 5">
              <a:extLst>
                <a:ext uri="{FF2B5EF4-FFF2-40B4-BE49-F238E27FC236}">
                  <a16:creationId xmlns:a16="http://schemas.microsoft.com/office/drawing/2014/main" id="{B9EBA0B5-BCD9-59A0-64B2-E6FE768D37C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V$50:$AS$50" spid="_x0000_s45951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296329" y="7833180"/>
              <a:ext cx="4932637" cy="32040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</xdr:col>
      <xdr:colOff>7143</xdr:colOff>
      <xdr:row>47</xdr:row>
      <xdr:rowOff>13215</xdr:rowOff>
    </xdr:from>
    <xdr:to>
      <xdr:col>4</xdr:col>
      <xdr:colOff>396686</xdr:colOff>
      <xdr:row>50</xdr:row>
      <xdr:rowOff>24327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05958A1-5349-4120-B5F8-46CA65F152E5}"/>
            </a:ext>
          </a:extLst>
        </xdr:cNvPr>
        <xdr:cNvSpPr txBox="1"/>
      </xdr:nvSpPr>
      <xdr:spPr>
        <a:xfrm>
          <a:off x="314721" y="8516262"/>
          <a:ext cx="2175481" cy="5568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>
            <a:lnSpc>
              <a:spcPts val="1600"/>
            </a:lnSpc>
          </a:pPr>
          <a:r>
            <a:rPr lang="ko-KR" altLang="en-US" sz="1150" b="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주      최 </a:t>
          </a:r>
          <a:r>
            <a:rPr lang="en-US" altLang="ko-KR" sz="1150" b="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: </a:t>
          </a:r>
          <a:r>
            <a:rPr lang="ko-KR" altLang="en-US" sz="1150" b="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경기도청</a:t>
          </a:r>
          <a:endParaRPr lang="en-US" altLang="ko-KR" sz="1150" b="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  <a:p>
          <a:pPr algn="l">
            <a:lnSpc>
              <a:spcPts val="1600"/>
            </a:lnSpc>
          </a:pPr>
          <a:r>
            <a:rPr lang="ko-KR" altLang="en-US" sz="1150" b="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측정기관 </a:t>
          </a:r>
          <a:r>
            <a:rPr lang="en-US" altLang="ko-KR" sz="1150" b="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:</a:t>
          </a:r>
          <a:r>
            <a:rPr lang="ko-KR" altLang="en-US" sz="1150" b="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 협동조합 소셜랩</a:t>
          </a:r>
        </a:p>
      </xdr:txBody>
    </xdr:sp>
    <xdr:clientData/>
  </xdr:twoCellAnchor>
  <xdr:twoCellAnchor editAs="oneCell">
    <xdr:from>
      <xdr:col>9</xdr:col>
      <xdr:colOff>110498</xdr:colOff>
      <xdr:row>47</xdr:row>
      <xdr:rowOff>180430</xdr:rowOff>
    </xdr:from>
    <xdr:to>
      <xdr:col>10</xdr:col>
      <xdr:colOff>20916</xdr:colOff>
      <xdr:row>49</xdr:row>
      <xdr:rowOff>101426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A775F8C4-DFD2-494A-A27E-D305AA4F8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0576" y="8683477"/>
          <a:ext cx="505731" cy="307949"/>
        </a:xfrm>
        <a:prstGeom prst="rect">
          <a:avLst/>
        </a:prstGeom>
      </xdr:spPr>
    </xdr:pic>
    <xdr:clientData/>
  </xdr:twoCellAnchor>
  <xdr:twoCellAnchor>
    <xdr:from>
      <xdr:col>0</xdr:col>
      <xdr:colOff>35718</xdr:colOff>
      <xdr:row>0</xdr:row>
      <xdr:rowOff>32802</xdr:rowOff>
    </xdr:from>
    <xdr:to>
      <xdr:col>10</xdr:col>
      <xdr:colOff>412750</xdr:colOff>
      <xdr:row>50</xdr:row>
      <xdr:rowOff>119064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78E1D46A-E8CB-F196-F86D-384FF286C609}"/>
            </a:ext>
          </a:extLst>
        </xdr:cNvPr>
        <xdr:cNvSpPr/>
      </xdr:nvSpPr>
      <xdr:spPr>
        <a:xfrm>
          <a:off x="6022861" y="32802"/>
          <a:ext cx="6064818" cy="10318833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82137</xdr:colOff>
      <xdr:row>13</xdr:row>
      <xdr:rowOff>148202</xdr:rowOff>
    </xdr:from>
    <xdr:to>
      <xdr:col>16</xdr:col>
      <xdr:colOff>219710</xdr:colOff>
      <xdr:row>17</xdr:row>
      <xdr:rowOff>157189</xdr:rowOff>
    </xdr:to>
    <xdr:sp macro="" textlink="'측정자 입력파일'!D9">
      <xdr:nvSpPr>
        <xdr:cNvPr id="10" name="TextBox 9">
          <a:extLst>
            <a:ext uri="{FF2B5EF4-FFF2-40B4-BE49-F238E27FC236}">
              <a16:creationId xmlns:a16="http://schemas.microsoft.com/office/drawing/2014/main" id="{011C7AAD-9A7A-4ECD-BAD5-E6BAF36820A6}"/>
            </a:ext>
          </a:extLst>
        </xdr:cNvPr>
        <xdr:cNvSpPr txBox="1"/>
      </xdr:nvSpPr>
      <xdr:spPr>
        <a:xfrm>
          <a:off x="7178933" y="2522744"/>
          <a:ext cx="862009" cy="65293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>
            <a:lnSpc>
              <a:spcPts val="1600"/>
            </a:lnSpc>
          </a:pPr>
          <a:fld id="{8EB85181-F36E-47D0-8DE5-F121EF1E913D}" type="TxLink">
            <a:rPr lang="ko-KR" altLang="en-US" sz="1050" b="0" i="0" u="none" strike="noStrike">
              <a:solidFill>
                <a:srgbClr val="000000"/>
              </a:solidFill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pPr algn="ctr">
              <a:lnSpc>
                <a:spcPts val="1600"/>
              </a:lnSpc>
            </a:pPr>
            <a:t>갓피플주식회사</a:t>
          </a:fld>
          <a:endParaRPr lang="ko-KR" altLang="en-US" sz="1400" b="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11</xdr:col>
      <xdr:colOff>224646</xdr:colOff>
      <xdr:row>1</xdr:row>
      <xdr:rowOff>8987</xdr:rowOff>
    </xdr:from>
    <xdr:to>
      <xdr:col>15</xdr:col>
      <xdr:colOff>97566</xdr:colOff>
      <xdr:row>2</xdr:row>
      <xdr:rowOff>86066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23005AD1-E913-4A3A-B132-83A4045823FB}"/>
            </a:ext>
          </a:extLst>
        </xdr:cNvPr>
        <xdr:cNvSpPr txBox="1"/>
      </xdr:nvSpPr>
      <xdr:spPr>
        <a:xfrm>
          <a:off x="6326038" y="170732"/>
          <a:ext cx="1229783" cy="2388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종합 평가 </a:t>
          </a:r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1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11</xdr:col>
      <xdr:colOff>260589</xdr:colOff>
      <xdr:row>7</xdr:row>
      <xdr:rowOff>71886</xdr:rowOff>
    </xdr:from>
    <xdr:to>
      <xdr:col>17</xdr:col>
      <xdr:colOff>71886</xdr:colOff>
      <xdr:row>8</xdr:row>
      <xdr:rowOff>113023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D5A644E9-64A4-4632-ADB7-62A6C8C03A6A}"/>
            </a:ext>
          </a:extLst>
        </xdr:cNvPr>
        <xdr:cNvSpPr txBox="1"/>
      </xdr:nvSpPr>
      <xdr:spPr>
        <a:xfrm>
          <a:off x="6361981" y="1347877"/>
          <a:ext cx="1887028" cy="2388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등급 성과 </a:t>
          </a:r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1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20</xdr:col>
      <xdr:colOff>98484</xdr:colOff>
      <xdr:row>7</xdr:row>
      <xdr:rowOff>71527</xdr:rowOff>
    </xdr:from>
    <xdr:to>
      <xdr:col>28</xdr:col>
      <xdr:colOff>0</xdr:colOff>
      <xdr:row>8</xdr:row>
      <xdr:rowOff>112664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3800194-D323-42E0-B458-8D42FF5830B7}"/>
            </a:ext>
          </a:extLst>
        </xdr:cNvPr>
        <xdr:cNvSpPr txBox="1"/>
      </xdr:nvSpPr>
      <xdr:spPr>
        <a:xfrm>
          <a:off x="9353909" y="1347518"/>
          <a:ext cx="2606256" cy="2388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전년도 등급별 평균 대비</a:t>
          </a:r>
          <a:r>
            <a:rPr lang="ko-KR" altLang="en-US" sz="1100" baseline="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 성과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 </a:t>
          </a:r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1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15</xdr:col>
      <xdr:colOff>143772</xdr:colOff>
      <xdr:row>9</xdr:row>
      <xdr:rowOff>71887</xdr:rowOff>
    </xdr:from>
    <xdr:to>
      <xdr:col>28</xdr:col>
      <xdr:colOff>213862</xdr:colOff>
      <xdr:row>21</xdr:row>
      <xdr:rowOff>69280</xdr:rowOff>
    </xdr:to>
    <xdr:graphicFrame macro="">
      <xdr:nvGraphicFramePr>
        <xdr:cNvPr id="15" name="차트 14">
          <a:extLst>
            <a:ext uri="{FF2B5EF4-FFF2-40B4-BE49-F238E27FC236}">
              <a16:creationId xmlns:a16="http://schemas.microsoft.com/office/drawing/2014/main" id="{B272775E-9F3C-4AF7-98D6-74CC2E0011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12</xdr:col>
      <xdr:colOff>38101</xdr:colOff>
      <xdr:row>24</xdr:row>
      <xdr:rowOff>52386</xdr:rowOff>
    </xdr:from>
    <xdr:to>
      <xdr:col>17</xdr:col>
      <xdr:colOff>127959</xdr:colOff>
      <xdr:row>25</xdr:row>
      <xdr:rowOff>129466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86F44BCD-B1F2-46A3-80D1-687BD6E06839}"/>
            </a:ext>
          </a:extLst>
        </xdr:cNvPr>
        <xdr:cNvSpPr txBox="1"/>
      </xdr:nvSpPr>
      <xdr:spPr>
        <a:xfrm>
          <a:off x="6353176" y="4205286"/>
          <a:ext cx="1899608" cy="2390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업종별 평균 대비 성과 </a:t>
          </a:r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1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oneCellAnchor>
    <xdr:from>
      <xdr:col>29</xdr:col>
      <xdr:colOff>152400</xdr:colOff>
      <xdr:row>45</xdr:row>
      <xdr:rowOff>218305</xdr:rowOff>
    </xdr:from>
    <xdr:ext cx="5953124" cy="697499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42772FE4-0806-4038-929E-7E8DF93761F2}"/>
            </a:ext>
          </a:extLst>
        </xdr:cNvPr>
        <xdr:cNvSpPr txBox="1"/>
      </xdr:nvSpPr>
      <xdr:spPr>
        <a:xfrm>
          <a:off x="12592050" y="8371705"/>
          <a:ext cx="5953124" cy="697499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본 자료는 「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2025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년 경기도 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SVI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컨설팅사업」의 모의측정 결과로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한국사회적기업진흥원의 사회적가치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(SVI)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신청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을 위한 교육지원 및 컨설팅 목적으로 측정 및 작성되었으며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,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별도 타 사업의 제출 자료로는 활용 될 수 없습니다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.</a:t>
          </a:r>
        </a:p>
      </xdr:txBody>
    </xdr:sp>
    <xdr:clientData/>
  </xdr:oneCellAnchor>
  <xdr:twoCellAnchor>
    <xdr:from>
      <xdr:col>11</xdr:col>
      <xdr:colOff>28575</xdr:colOff>
      <xdr:row>0</xdr:row>
      <xdr:rowOff>28575</xdr:rowOff>
    </xdr:from>
    <xdr:to>
      <xdr:col>28</xdr:col>
      <xdr:colOff>201706</xdr:colOff>
      <xdr:row>50</xdr:row>
      <xdr:rowOff>128984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F98EF36F-14DF-4214-B238-E2F9890EC17B}"/>
            </a:ext>
          </a:extLst>
        </xdr:cNvPr>
        <xdr:cNvSpPr/>
      </xdr:nvSpPr>
      <xdr:spPr>
        <a:xfrm>
          <a:off x="6281457" y="28575"/>
          <a:ext cx="6078631" cy="9042703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12</xdr:col>
      <xdr:colOff>36739</xdr:colOff>
      <xdr:row>45</xdr:row>
      <xdr:rowOff>155122</xdr:rowOff>
    </xdr:from>
    <xdr:ext cx="5270047" cy="697499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3D8647FD-603E-48A8-A9D5-13DFBD725513}"/>
            </a:ext>
          </a:extLst>
        </xdr:cNvPr>
        <xdr:cNvSpPr txBox="1"/>
      </xdr:nvSpPr>
      <xdr:spPr>
        <a:xfrm>
          <a:off x="5738132" y="8387443"/>
          <a:ext cx="5270047" cy="69749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※ 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 측정결과는 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2025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년의 사회적가치지표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(SVI)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에 준하여 진단한 모의측정 결과입니다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. </a:t>
          </a:r>
        </a:p>
        <a:p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     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업종별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,</a:t>
          </a:r>
          <a:r>
            <a:rPr lang="en-US" altLang="ko-KR" sz="1100" baseline="0">
              <a:latin typeface="KoPub돋움체 Bold" panose="00000800000000000000" pitchFamily="2" charset="-127"/>
              <a:ea typeface="KoPub돋움체 Bold" panose="00000800000000000000" pitchFamily="2" charset="-127"/>
            </a:rPr>
            <a:t> </a:t>
          </a:r>
          <a:r>
            <a:rPr lang="ko-KR" altLang="en-US" sz="1100" baseline="0">
              <a:latin typeface="KoPub돋움체 Bold" panose="00000800000000000000" pitchFamily="2" charset="-127"/>
              <a:ea typeface="KoPub돋움체 Bold" panose="00000800000000000000" pitchFamily="2" charset="-127"/>
            </a:rPr>
            <a:t>지표별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 평균 비교수치는 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2024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년 경기도 모의측정결과에 준하였습니다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. </a:t>
          </a:r>
        </a:p>
        <a:p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     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지표별 세부내용을 확인하시어 귀사의 조직운영 및 사업 활동에 참고하시기 바랍니다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</a:rPr>
            <a:t>.</a:t>
          </a:r>
        </a:p>
      </xdr:txBody>
    </xdr:sp>
    <xdr:clientData/>
  </xdr:oneCellAnchor>
  <xdr:twoCellAnchor>
    <xdr:from>
      <xdr:col>29</xdr:col>
      <xdr:colOff>67078</xdr:colOff>
      <xdr:row>4</xdr:row>
      <xdr:rowOff>93907</xdr:rowOff>
    </xdr:from>
    <xdr:to>
      <xdr:col>48</xdr:col>
      <xdr:colOff>80494</xdr:colOff>
      <xdr:row>13</xdr:row>
      <xdr:rowOff>11856</xdr:rowOff>
    </xdr:to>
    <xdr:graphicFrame macro="">
      <xdr:nvGraphicFramePr>
        <xdr:cNvPr id="21" name="차트 20">
          <a:extLst>
            <a:ext uri="{FF2B5EF4-FFF2-40B4-BE49-F238E27FC236}">
              <a16:creationId xmlns:a16="http://schemas.microsoft.com/office/drawing/2014/main" id="{07D8DB3A-6A41-41DE-9512-2C52C102FAD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29</xdr:col>
      <xdr:colOff>245057</xdr:colOff>
      <xdr:row>1</xdr:row>
      <xdr:rowOff>80493</xdr:rowOff>
    </xdr:from>
    <xdr:to>
      <xdr:col>33</xdr:col>
      <xdr:colOff>140515</xdr:colOff>
      <xdr:row>2</xdr:row>
      <xdr:rowOff>157572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DA4CA8AB-CCCA-48A3-A6A0-2BEB85EA0C2C}"/>
            </a:ext>
          </a:extLst>
        </xdr:cNvPr>
        <xdr:cNvSpPr txBox="1"/>
      </xdr:nvSpPr>
      <xdr:spPr>
        <a:xfrm>
          <a:off x="12691057" y="239243"/>
          <a:ext cx="1165458" cy="2358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관점별 성과 </a:t>
          </a:r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1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32</xdr:col>
      <xdr:colOff>101302</xdr:colOff>
      <xdr:row>5</xdr:row>
      <xdr:rowOff>155508</xdr:rowOff>
    </xdr:from>
    <xdr:to>
      <xdr:col>41</xdr:col>
      <xdr:colOff>130644</xdr:colOff>
      <xdr:row>6</xdr:row>
      <xdr:rowOff>9718</xdr:rowOff>
    </xdr:to>
    <xdr:sp macro="" textlink="">
      <xdr:nvSpPr>
        <xdr:cNvPr id="23" name="오른쪽 대괄호 22">
          <a:extLst>
            <a:ext uri="{FF2B5EF4-FFF2-40B4-BE49-F238E27FC236}">
              <a16:creationId xmlns:a16="http://schemas.microsoft.com/office/drawing/2014/main" id="{1FEDBDDD-00A1-3ADD-C15C-8A12404938D6}"/>
            </a:ext>
          </a:extLst>
        </xdr:cNvPr>
        <xdr:cNvSpPr/>
      </xdr:nvSpPr>
      <xdr:spPr>
        <a:xfrm rot="16200000">
          <a:off x="14879722" y="-286815"/>
          <a:ext cx="68037" cy="2916000"/>
        </a:xfrm>
        <a:prstGeom prst="rightBracket">
          <a:avLst/>
        </a:prstGeom>
        <a:ln w="15875">
          <a:solidFill>
            <a:schemeClr val="tx2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41</xdr:col>
      <xdr:colOff>156511</xdr:colOff>
      <xdr:row>5</xdr:row>
      <xdr:rowOff>152396</xdr:rowOff>
    </xdr:from>
    <xdr:to>
      <xdr:col>45</xdr:col>
      <xdr:colOff>313552</xdr:colOff>
      <xdr:row>6</xdr:row>
      <xdr:rowOff>6606</xdr:rowOff>
    </xdr:to>
    <xdr:sp macro="" textlink="">
      <xdr:nvSpPr>
        <xdr:cNvPr id="24" name="오른쪽 대괄호 23">
          <a:extLst>
            <a:ext uri="{FF2B5EF4-FFF2-40B4-BE49-F238E27FC236}">
              <a16:creationId xmlns:a16="http://schemas.microsoft.com/office/drawing/2014/main" id="{D642EF73-D23C-4052-B863-B3D08ACA5024}"/>
            </a:ext>
          </a:extLst>
        </xdr:cNvPr>
        <xdr:cNvSpPr/>
      </xdr:nvSpPr>
      <xdr:spPr>
        <a:xfrm rot="16200000">
          <a:off x="17083589" y="448073"/>
          <a:ext cx="68037" cy="1440000"/>
        </a:xfrm>
        <a:prstGeom prst="rightBracket">
          <a:avLst/>
        </a:prstGeom>
        <a:ln w="15875">
          <a:solidFill>
            <a:schemeClr val="tx2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46</xdr:col>
      <xdr:colOff>27047</xdr:colOff>
      <xdr:row>5</xdr:row>
      <xdr:rowOff>159005</xdr:rowOff>
    </xdr:from>
    <xdr:to>
      <xdr:col>47</xdr:col>
      <xdr:colOff>249185</xdr:colOff>
      <xdr:row>6</xdr:row>
      <xdr:rowOff>13215</xdr:rowOff>
    </xdr:to>
    <xdr:sp macro="" textlink="">
      <xdr:nvSpPr>
        <xdr:cNvPr id="25" name="오른쪽 대괄호 24">
          <a:extLst>
            <a:ext uri="{FF2B5EF4-FFF2-40B4-BE49-F238E27FC236}">
              <a16:creationId xmlns:a16="http://schemas.microsoft.com/office/drawing/2014/main" id="{ECC5CC7B-4865-4118-AE01-0531E66229A4}"/>
            </a:ext>
          </a:extLst>
        </xdr:cNvPr>
        <xdr:cNvSpPr/>
      </xdr:nvSpPr>
      <xdr:spPr>
        <a:xfrm rot="16200000">
          <a:off x="18089824" y="922682"/>
          <a:ext cx="68037" cy="504000"/>
        </a:xfrm>
        <a:prstGeom prst="rightBracket">
          <a:avLst/>
        </a:prstGeom>
        <a:ln w="15875">
          <a:solidFill>
            <a:schemeClr val="tx2">
              <a:lumMod val="5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35</xdr:col>
      <xdr:colOff>243260</xdr:colOff>
      <xdr:row>4</xdr:row>
      <xdr:rowOff>231760</xdr:rowOff>
    </xdr:from>
    <xdr:to>
      <xdr:col>38</xdr:col>
      <xdr:colOff>68035</xdr:colOff>
      <xdr:row>6</xdr:row>
      <xdr:rowOff>17256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91669260-8BF1-4531-A0F9-7E9CB8E9BE1F}"/>
            </a:ext>
          </a:extLst>
        </xdr:cNvPr>
        <xdr:cNvSpPr txBox="1"/>
      </xdr:nvSpPr>
      <xdr:spPr>
        <a:xfrm>
          <a:off x="14559918" y="970433"/>
          <a:ext cx="786995" cy="242308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ko-KR" altLang="en-US" sz="10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사회적 성과 </a:t>
          </a:r>
        </a:p>
      </xdr:txBody>
    </xdr:sp>
    <xdr:clientData/>
  </xdr:twoCellAnchor>
  <xdr:twoCellAnchor>
    <xdr:from>
      <xdr:col>42</xdr:col>
      <xdr:colOff>201272</xdr:colOff>
      <xdr:row>4</xdr:row>
      <xdr:rowOff>238369</xdr:rowOff>
    </xdr:from>
    <xdr:to>
      <xdr:col>45</xdr:col>
      <xdr:colOff>26048</xdr:colOff>
      <xdr:row>6</xdr:row>
      <xdr:rowOff>23865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6DE53A8E-171E-47F2-9482-05FFC716FC43}"/>
            </a:ext>
          </a:extLst>
        </xdr:cNvPr>
        <xdr:cNvSpPr txBox="1"/>
      </xdr:nvSpPr>
      <xdr:spPr>
        <a:xfrm>
          <a:off x="16763109" y="977042"/>
          <a:ext cx="786995" cy="242308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ko-KR" altLang="en-US" sz="10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경제적 성과 </a:t>
          </a:r>
        </a:p>
      </xdr:txBody>
    </xdr:sp>
    <xdr:clientData/>
  </xdr:twoCellAnchor>
  <xdr:twoCellAnchor>
    <xdr:from>
      <xdr:col>46</xdr:col>
      <xdr:colOff>169004</xdr:colOff>
      <xdr:row>4</xdr:row>
      <xdr:rowOff>138064</xdr:rowOff>
    </xdr:from>
    <xdr:to>
      <xdr:col>47</xdr:col>
      <xdr:colOff>136071</xdr:colOff>
      <xdr:row>6</xdr:row>
      <xdr:rowOff>87475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A3884841-073A-46CC-92DA-D4ACF20E91B0}"/>
            </a:ext>
          </a:extLst>
        </xdr:cNvPr>
        <xdr:cNvSpPr txBox="1"/>
      </xdr:nvSpPr>
      <xdr:spPr>
        <a:xfrm>
          <a:off x="18013800" y="876737"/>
          <a:ext cx="248929" cy="406223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0" tIns="0" rIns="0" bIns="0" rtlCol="0" anchor="ctr"/>
        <a:lstStyle/>
        <a:p>
          <a:pPr>
            <a:lnSpc>
              <a:spcPts val="1200"/>
            </a:lnSpc>
          </a:pPr>
          <a:r>
            <a:rPr lang="ko-KR" altLang="en-US" sz="10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혁신</a:t>
          </a:r>
          <a:endParaRPr lang="en-US" altLang="ko-KR" sz="10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  <a:p>
          <a:pPr>
            <a:lnSpc>
              <a:spcPts val="1200"/>
            </a:lnSpc>
          </a:pPr>
          <a:r>
            <a:rPr lang="ko-KR" altLang="en-US" sz="10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성과 </a:t>
          </a:r>
        </a:p>
      </xdr:txBody>
    </xdr:sp>
    <xdr:clientData/>
  </xdr:twoCellAnchor>
  <xdr:twoCellAnchor>
    <xdr:from>
      <xdr:col>29</xdr:col>
      <xdr:colOff>238125</xdr:colOff>
      <xdr:row>10</xdr:row>
      <xdr:rowOff>142875</xdr:rowOff>
    </xdr:from>
    <xdr:to>
      <xdr:col>33</xdr:col>
      <xdr:colOff>136823</xdr:colOff>
      <xdr:row>12</xdr:row>
      <xdr:rowOff>61203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B1D59F87-7EAF-4998-A990-BF2843A3EA00}"/>
            </a:ext>
          </a:extLst>
        </xdr:cNvPr>
        <xdr:cNvSpPr txBox="1"/>
      </xdr:nvSpPr>
      <xdr:spPr>
        <a:xfrm>
          <a:off x="12684125" y="2016125"/>
          <a:ext cx="1168698" cy="23582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지표별 성과 </a:t>
          </a:r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1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31</xdr:col>
      <xdr:colOff>38877</xdr:colOff>
      <xdr:row>11</xdr:row>
      <xdr:rowOff>87476</xdr:rowOff>
    </xdr:from>
    <xdr:to>
      <xdr:col>47</xdr:col>
      <xdr:colOff>145791</xdr:colOff>
      <xdr:row>34</xdr:row>
      <xdr:rowOff>162661</xdr:rowOff>
    </xdr:to>
    <xdr:graphicFrame macro="">
      <xdr:nvGraphicFramePr>
        <xdr:cNvPr id="31" name="차트 30">
          <a:extLst>
            <a:ext uri="{FF2B5EF4-FFF2-40B4-BE49-F238E27FC236}">
              <a16:creationId xmlns:a16="http://schemas.microsoft.com/office/drawing/2014/main" id="{26F67649-56AE-4A9E-BF9E-AF47B78AE7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29</xdr:col>
      <xdr:colOff>40821</xdr:colOff>
      <xdr:row>0</xdr:row>
      <xdr:rowOff>49610</xdr:rowOff>
    </xdr:from>
    <xdr:to>
      <xdr:col>48</xdr:col>
      <xdr:colOff>228203</xdr:colOff>
      <xdr:row>50</xdr:row>
      <xdr:rowOff>136072</xdr:rowOff>
    </xdr:to>
    <xdr:sp macro="" textlink="">
      <xdr:nvSpPr>
        <xdr:cNvPr id="32" name="직사각형 31">
          <a:extLst>
            <a:ext uri="{FF2B5EF4-FFF2-40B4-BE49-F238E27FC236}">
              <a16:creationId xmlns:a16="http://schemas.microsoft.com/office/drawing/2014/main" id="{A4154112-8F8B-4BE3-A681-8DF62B1114B0}"/>
            </a:ext>
          </a:extLst>
        </xdr:cNvPr>
        <xdr:cNvSpPr/>
      </xdr:nvSpPr>
      <xdr:spPr>
        <a:xfrm>
          <a:off x="12575721" y="49610"/>
          <a:ext cx="6245282" cy="9592412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0</xdr:col>
      <xdr:colOff>190500</xdr:colOff>
      <xdr:row>1</xdr:row>
      <xdr:rowOff>31750</xdr:rowOff>
    </xdr:from>
    <xdr:to>
      <xdr:col>10</xdr:col>
      <xdr:colOff>301625</xdr:colOff>
      <xdr:row>5</xdr:row>
      <xdr:rowOff>190500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F30A7DF2-111A-A9BB-2C66-2FD35F29F68D}"/>
            </a:ext>
          </a:extLst>
        </xdr:cNvPr>
        <xdr:cNvSpPr/>
      </xdr:nvSpPr>
      <xdr:spPr>
        <a:xfrm>
          <a:off x="190500" y="190500"/>
          <a:ext cx="5842000" cy="952500"/>
        </a:xfrm>
        <a:prstGeom prst="rect">
          <a:avLst/>
        </a:prstGeom>
        <a:gradFill flip="none" rotWithShape="1">
          <a:gsLst>
            <a:gs pos="0">
              <a:schemeClr val="tx2">
                <a:lumMod val="60000"/>
                <a:lumOff val="40000"/>
              </a:schemeClr>
            </a:gs>
            <a:gs pos="100000">
              <a:srgbClr val="30519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 「</a:t>
          </a:r>
          <a:r>
            <a:rPr lang="en-US" altLang="ko-KR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2025</a:t>
          </a:r>
          <a:r>
            <a:rPr lang="ko-KR" altLang="en-US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년 경기도 사회적가치지표</a:t>
          </a:r>
          <a:r>
            <a:rPr lang="en-US" altLang="ko-KR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(SVI) </a:t>
          </a:r>
          <a:r>
            <a:rPr lang="ko-KR" altLang="en-US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측정 컨설팅사업」 </a:t>
          </a:r>
        </a:p>
        <a:p>
          <a:pPr algn="ctr"/>
          <a:r>
            <a:rPr lang="ko-KR" altLang="en-US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사회적가치지표</a:t>
          </a:r>
          <a:r>
            <a:rPr lang="en-US" altLang="ko-KR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(SVI) </a:t>
          </a:r>
          <a:r>
            <a:rPr lang="ko-KR" altLang="en-US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모의측정 보고서</a:t>
          </a:r>
        </a:p>
      </xdr:txBody>
    </xdr:sp>
    <xdr:clientData/>
  </xdr:twoCellAnchor>
  <xdr:twoCellAnchor>
    <xdr:from>
      <xdr:col>29</xdr:col>
      <xdr:colOff>235209</xdr:colOff>
      <xdr:row>34</xdr:row>
      <xdr:rowOff>25917</xdr:rowOff>
    </xdr:from>
    <xdr:to>
      <xdr:col>34</xdr:col>
      <xdr:colOff>176893</xdr:colOff>
      <xdr:row>35</xdr:row>
      <xdr:rowOff>108856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C35AA40A-F61D-44BD-B3C6-17E216965EC2}"/>
            </a:ext>
          </a:extLst>
        </xdr:cNvPr>
        <xdr:cNvSpPr txBox="1"/>
      </xdr:nvSpPr>
      <xdr:spPr>
        <a:xfrm>
          <a:off x="11297816" y="5849774"/>
          <a:ext cx="1370434" cy="246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개선지표 의견 </a:t>
          </a:r>
          <a:r>
            <a:rPr lang="en-US" altLang="ko-KR" sz="11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1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29</xdr:col>
          <xdr:colOff>163286</xdr:colOff>
          <xdr:row>36</xdr:row>
          <xdr:rowOff>27214</xdr:rowOff>
        </xdr:from>
        <xdr:to>
          <xdr:col>48</xdr:col>
          <xdr:colOff>108857</xdr:colOff>
          <xdr:row>42</xdr:row>
          <xdr:rowOff>104206</xdr:rowOff>
        </xdr:to>
        <xdr:pic>
          <xdr:nvPicPr>
            <xdr:cNvPr id="39" name="그림 38">
              <a:extLst>
                <a:ext uri="{FF2B5EF4-FFF2-40B4-BE49-F238E27FC236}">
                  <a16:creationId xmlns:a16="http://schemas.microsoft.com/office/drawing/2014/main" id="{AE7C95E8-235D-6B8A-BC28-473F280D4931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측정자 입력파일'!$AC$53:$AJ$61" spid="_x0000_s45952"/>
                </a:ext>
              </a:extLst>
            </xdr:cNvPicPr>
          </xdr:nvPicPr>
          <xdr:blipFill>
            <a:blip xmlns:r="http://schemas.openxmlformats.org/officeDocument/2006/relationships" r:embed="rId9"/>
            <a:srcRect/>
            <a:stretch>
              <a:fillRect/>
            </a:stretch>
          </xdr:blipFill>
          <xdr:spPr bwMode="auto">
            <a:xfrm>
              <a:off x="11225893" y="6177643"/>
              <a:ext cx="5293178" cy="146492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11</xdr:col>
      <xdr:colOff>142876</xdr:colOff>
      <xdr:row>29</xdr:row>
      <xdr:rowOff>19050</xdr:rowOff>
    </xdr:from>
    <xdr:to>
      <xdr:col>28</xdr:col>
      <xdr:colOff>85726</xdr:colOff>
      <xdr:row>45</xdr:row>
      <xdr:rowOff>180975</xdr:rowOff>
    </xdr:to>
    <xdr:graphicFrame macro="">
      <xdr:nvGraphicFramePr>
        <xdr:cNvPr id="29" name="차트 28">
          <a:extLst>
            <a:ext uri="{FF2B5EF4-FFF2-40B4-BE49-F238E27FC236}">
              <a16:creationId xmlns:a16="http://schemas.microsoft.com/office/drawing/2014/main" id="{1BD3586C-E622-4372-A8D7-05A0A8545B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70185</xdr:colOff>
      <xdr:row>0</xdr:row>
      <xdr:rowOff>50132</xdr:rowOff>
    </xdr:from>
    <xdr:to>
      <xdr:col>21</xdr:col>
      <xdr:colOff>367393</xdr:colOff>
      <xdr:row>53</xdr:row>
      <xdr:rowOff>183174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9944D67-FD94-4204-81B1-67B084B77DF2}"/>
            </a:ext>
          </a:extLst>
        </xdr:cNvPr>
        <xdr:cNvSpPr/>
      </xdr:nvSpPr>
      <xdr:spPr>
        <a:xfrm>
          <a:off x="6057328" y="50132"/>
          <a:ext cx="5984994" cy="9481149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201935</xdr:colOff>
      <xdr:row>8</xdr:row>
      <xdr:rowOff>61869</xdr:rowOff>
    </xdr:from>
    <xdr:to>
      <xdr:col>14</xdr:col>
      <xdr:colOff>573202</xdr:colOff>
      <xdr:row>9</xdr:row>
      <xdr:rowOff>113033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7B84D0AB-9C95-4667-827E-A7135C96C1FD}"/>
            </a:ext>
          </a:extLst>
        </xdr:cNvPr>
        <xdr:cNvSpPr txBox="1"/>
      </xdr:nvSpPr>
      <xdr:spPr>
        <a:xfrm>
          <a:off x="6157567" y="1425448"/>
          <a:ext cx="1875214" cy="22161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담당 컨설턴트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oneCellAnchor>
    <xdr:from>
      <xdr:col>95</xdr:col>
      <xdr:colOff>206984</xdr:colOff>
      <xdr:row>48</xdr:row>
      <xdr:rowOff>145971</xdr:rowOff>
    </xdr:from>
    <xdr:ext cx="5832200" cy="697499"/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7A371586-F5C1-4ACC-A345-8DA6067CFDB8}"/>
            </a:ext>
          </a:extLst>
        </xdr:cNvPr>
        <xdr:cNvSpPr txBox="1"/>
      </xdr:nvSpPr>
      <xdr:spPr>
        <a:xfrm>
          <a:off x="18525063" y="8327445"/>
          <a:ext cx="5832200" cy="697499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본 자료는 「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2025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년 경기도 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SVI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컨설팅사업」에 참여한 기업의 컨설팅 결과입니다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.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한국사회적기업진흥원의 사회적가치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(SVI)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신청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을 위한 교육과 컨설팅의 결과로 제공되는 것으로</a:t>
          </a:r>
          <a:r>
            <a:rPr lang="en-US" altLang="ko-KR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en-US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고유의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목적외에 타 사업의 제출 자료로는 활용 될 수 없습니다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.</a:t>
          </a:r>
        </a:p>
      </xdr:txBody>
    </xdr:sp>
    <xdr:clientData/>
  </xdr:oneCellAnchor>
  <xdr:oneCellAnchor>
    <xdr:from>
      <xdr:col>95</xdr:col>
      <xdr:colOff>290261</xdr:colOff>
      <xdr:row>44</xdr:row>
      <xdr:rowOff>127906</xdr:rowOff>
    </xdr:from>
    <xdr:ext cx="5720513" cy="642484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676F3DB5-E5A8-44F8-A6A0-EDDB2C158E8B}"/>
            </a:ext>
          </a:extLst>
        </xdr:cNvPr>
        <xdr:cNvSpPr txBox="1"/>
      </xdr:nvSpPr>
      <xdr:spPr>
        <a:xfrm>
          <a:off x="18632690" y="7911192"/>
          <a:ext cx="5720513" cy="64248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altLang="ko-KR" sz="10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※ </a:t>
          </a:r>
          <a:r>
            <a:rPr lang="ko-KR" altLang="en-US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 측정결과는 </a:t>
          </a:r>
          <a:r>
            <a:rPr lang="en-US" altLang="ko-KR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2025</a:t>
          </a:r>
          <a:r>
            <a:rPr lang="ko-KR" altLang="en-US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년의 사회적가치지표</a:t>
          </a:r>
          <a:r>
            <a:rPr lang="en-US" altLang="ko-KR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(SVI)</a:t>
          </a:r>
          <a:r>
            <a:rPr lang="ko-KR" altLang="en-US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에 준하여 진단한 모의측정 결과입니다</a:t>
          </a:r>
          <a:r>
            <a:rPr lang="en-US" altLang="ko-KR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. </a:t>
          </a:r>
        </a:p>
        <a:p>
          <a:r>
            <a:rPr lang="en-US" altLang="ko-KR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     </a:t>
          </a:r>
          <a:r>
            <a:rPr lang="ko-KR" altLang="en-US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업종별</a:t>
          </a:r>
          <a:r>
            <a:rPr lang="en-US" altLang="ko-KR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,</a:t>
          </a:r>
          <a:r>
            <a:rPr lang="en-US" altLang="ko-KR" sz="1000" baseline="0">
              <a:latin typeface="KoPub돋움체 Bold" panose="00000800000000000000" pitchFamily="2" charset="-127"/>
              <a:ea typeface="KoPub돋움체 Bold" panose="00000800000000000000" pitchFamily="2" charset="-127"/>
            </a:rPr>
            <a:t> </a:t>
          </a:r>
          <a:r>
            <a:rPr lang="ko-KR" altLang="en-US" sz="1000" baseline="0">
              <a:latin typeface="KoPub돋움체 Bold" panose="00000800000000000000" pitchFamily="2" charset="-127"/>
              <a:ea typeface="KoPub돋움체 Bold" panose="00000800000000000000" pitchFamily="2" charset="-127"/>
            </a:rPr>
            <a:t>지표별</a:t>
          </a:r>
          <a:r>
            <a:rPr lang="ko-KR" altLang="en-US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 평균 비교수치는 </a:t>
          </a:r>
          <a:r>
            <a:rPr lang="en-US" altLang="ko-KR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2024</a:t>
          </a:r>
          <a:r>
            <a:rPr lang="ko-KR" altLang="en-US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년도 측정결과에 준하였습니다</a:t>
          </a:r>
          <a:r>
            <a:rPr lang="en-US" altLang="ko-KR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. </a:t>
          </a:r>
          <a:r>
            <a:rPr lang="ko-KR" altLang="en-US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지표별 세부내용을 확인하시어 귀사의 조직운영 및 사업 활동에 참고하시기 바랍니다</a:t>
          </a:r>
          <a:r>
            <a:rPr lang="en-US" altLang="ko-KR" sz="1000">
              <a:latin typeface="KoPub돋움체 Bold" panose="00000800000000000000" pitchFamily="2" charset="-127"/>
              <a:ea typeface="KoPub돋움체 Bold" panose="00000800000000000000" pitchFamily="2" charset="-127"/>
            </a:rPr>
            <a:t>.</a:t>
          </a:r>
        </a:p>
      </xdr:txBody>
    </xdr:sp>
    <xdr:clientData/>
  </xdr:oneCellAnchor>
  <xdr:twoCellAnchor>
    <xdr:from>
      <xdr:col>96</xdr:col>
      <xdr:colOff>61935</xdr:colOff>
      <xdr:row>8</xdr:row>
      <xdr:rowOff>20889</xdr:rowOff>
    </xdr:from>
    <xdr:to>
      <xdr:col>101</xdr:col>
      <xdr:colOff>59531</xdr:colOff>
      <xdr:row>9</xdr:row>
      <xdr:rowOff>96191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2A272DFA-38BF-45FA-8387-8855420F62BF}"/>
            </a:ext>
          </a:extLst>
        </xdr:cNvPr>
        <xdr:cNvSpPr txBox="1"/>
      </xdr:nvSpPr>
      <xdr:spPr>
        <a:xfrm>
          <a:off x="12494044" y="1370264"/>
          <a:ext cx="1634706" cy="24397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지표별 성과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95</xdr:col>
      <xdr:colOff>49608</xdr:colOff>
      <xdr:row>0</xdr:row>
      <xdr:rowOff>49609</xdr:rowOff>
    </xdr:from>
    <xdr:to>
      <xdr:col>114</xdr:col>
      <xdr:colOff>228203</xdr:colOff>
      <xdr:row>53</xdr:row>
      <xdr:rowOff>110288</xdr:rowOff>
    </xdr:to>
    <xdr:sp macro="" textlink="">
      <xdr:nvSpPr>
        <xdr:cNvPr id="31" name="직사각형 30">
          <a:extLst>
            <a:ext uri="{FF2B5EF4-FFF2-40B4-BE49-F238E27FC236}">
              <a16:creationId xmlns:a16="http://schemas.microsoft.com/office/drawing/2014/main" id="{F1F3954A-5FF9-48CC-84AB-2D854C04BBFF}"/>
            </a:ext>
          </a:extLst>
        </xdr:cNvPr>
        <xdr:cNvSpPr/>
      </xdr:nvSpPr>
      <xdr:spPr>
        <a:xfrm>
          <a:off x="18367687" y="49609"/>
          <a:ext cx="6184358" cy="9074337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210553</xdr:colOff>
      <xdr:row>1</xdr:row>
      <xdr:rowOff>41777</xdr:rowOff>
    </xdr:from>
    <xdr:to>
      <xdr:col>21</xdr:col>
      <xdr:colOff>321678</xdr:colOff>
      <xdr:row>1</xdr:row>
      <xdr:rowOff>100264</xdr:rowOff>
    </xdr:to>
    <xdr:sp macro="" textlink="">
      <xdr:nvSpPr>
        <xdr:cNvPr id="32" name="직사각형 31">
          <a:extLst>
            <a:ext uri="{FF2B5EF4-FFF2-40B4-BE49-F238E27FC236}">
              <a16:creationId xmlns:a16="http://schemas.microsoft.com/office/drawing/2014/main" id="{DB541D45-7468-4A05-A818-4D98A318FD62}"/>
            </a:ext>
          </a:extLst>
        </xdr:cNvPr>
        <xdr:cNvSpPr/>
      </xdr:nvSpPr>
      <xdr:spPr>
        <a:xfrm>
          <a:off x="6166185" y="212224"/>
          <a:ext cx="5826125" cy="58487"/>
        </a:xfrm>
        <a:prstGeom prst="rect">
          <a:avLst/>
        </a:prstGeom>
        <a:gradFill flip="none" rotWithShape="1">
          <a:gsLst>
            <a:gs pos="0">
              <a:srgbClr val="41801E"/>
            </a:gs>
            <a:gs pos="100000">
              <a:srgbClr val="30519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ko-KR" altLang="en-US" sz="1600" b="1">
            <a:latin typeface="KoPub돋움체 Bold" panose="02020603020101020101" pitchFamily="18" charset="-127"/>
            <a:ea typeface="KoPub돋움체 Bold" panose="02020603020101020101" pitchFamily="18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11</xdr:col>
      <xdr:colOff>200526</xdr:colOff>
      <xdr:row>1</xdr:row>
      <xdr:rowOff>160421</xdr:rowOff>
    </xdr:from>
    <xdr:to>
      <xdr:col>21</xdr:col>
      <xdr:colOff>311651</xdr:colOff>
      <xdr:row>6</xdr:row>
      <xdr:rowOff>50131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9A6F469A-497A-4620-B3E0-F7AD118AD0D3}"/>
            </a:ext>
          </a:extLst>
        </xdr:cNvPr>
        <xdr:cNvSpPr/>
      </xdr:nvSpPr>
      <xdr:spPr>
        <a:xfrm>
          <a:off x="6156158" y="330868"/>
          <a:ext cx="5826125" cy="741947"/>
        </a:xfrm>
        <a:prstGeom prst="rect">
          <a:avLst/>
        </a:prstGeom>
        <a:solidFill>
          <a:schemeClr val="tx2">
            <a:lumMod val="5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2025</a:t>
          </a:r>
          <a:r>
            <a:rPr lang="ko-KR" altLang="en-US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년도 경기도 </a:t>
          </a:r>
          <a:r>
            <a:rPr lang="en-US" altLang="ko-KR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SVI</a:t>
          </a:r>
          <a:r>
            <a:rPr lang="ko-KR" altLang="en-US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측정 컨설팅 지원사업</a:t>
          </a:r>
          <a:endParaRPr lang="en-US" altLang="ko-KR" sz="1600" b="1">
            <a:latin typeface="KoPub돋움체 Bold" panose="02020603020101020101" pitchFamily="18" charset="-127"/>
            <a:ea typeface="KoPub돋움체 Bold" panose="02020603020101020101" pitchFamily="18" charset="-127"/>
            <a:cs typeface="KoPubWorld돋움체_Pro Bold" panose="00000800000000000000" pitchFamily="50" charset="-127"/>
          </a:endParaRPr>
        </a:p>
        <a:p>
          <a:pPr algn="ctr"/>
          <a:r>
            <a:rPr lang="ko-KR" altLang="en-US" sz="1600" b="1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Bold" panose="00000800000000000000" pitchFamily="50" charset="-127"/>
            </a:rPr>
            <a:t>컨설팅 보고서</a:t>
          </a:r>
        </a:p>
      </xdr:txBody>
    </xdr:sp>
    <xdr:clientData/>
  </xdr:twoCellAnchor>
  <xdr:twoCellAnchor>
    <xdr:from>
      <xdr:col>11</xdr:col>
      <xdr:colOff>183888</xdr:colOff>
      <xdr:row>13</xdr:row>
      <xdr:rowOff>83931</xdr:rowOff>
    </xdr:from>
    <xdr:to>
      <xdr:col>14</xdr:col>
      <xdr:colOff>555155</xdr:colOff>
      <xdr:row>15</xdr:row>
      <xdr:rowOff>4751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3C63D3B2-7FC0-4C64-ABF6-FC23AF3CD9E0}"/>
            </a:ext>
          </a:extLst>
        </xdr:cNvPr>
        <xdr:cNvSpPr txBox="1"/>
      </xdr:nvSpPr>
      <xdr:spPr>
        <a:xfrm>
          <a:off x="6139520" y="2299747"/>
          <a:ext cx="1875214" cy="2617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컨설팅 참여기업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11</xdr:col>
      <xdr:colOff>185894</xdr:colOff>
      <xdr:row>21</xdr:row>
      <xdr:rowOff>136069</xdr:rowOff>
    </xdr:from>
    <xdr:to>
      <xdr:col>14</xdr:col>
      <xdr:colOff>557161</xdr:colOff>
      <xdr:row>23</xdr:row>
      <xdr:rowOff>56891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515E6CB9-7463-41D2-BFFA-5DCC9B23B7BC}"/>
            </a:ext>
          </a:extLst>
        </xdr:cNvPr>
        <xdr:cNvSpPr txBox="1"/>
      </xdr:nvSpPr>
      <xdr:spPr>
        <a:xfrm>
          <a:off x="6141526" y="3715464"/>
          <a:ext cx="1875214" cy="26171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컨설팅 진행일정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11</xdr:col>
      <xdr:colOff>202532</xdr:colOff>
      <xdr:row>6</xdr:row>
      <xdr:rowOff>123993</xdr:rowOff>
    </xdr:from>
    <xdr:to>
      <xdr:col>21</xdr:col>
      <xdr:colOff>313657</xdr:colOff>
      <xdr:row>7</xdr:row>
      <xdr:rowOff>10025</xdr:rowOff>
    </xdr:to>
    <xdr:sp macro="" textlink="">
      <xdr:nvSpPr>
        <xdr:cNvPr id="41" name="직사각형 40">
          <a:extLst>
            <a:ext uri="{FF2B5EF4-FFF2-40B4-BE49-F238E27FC236}">
              <a16:creationId xmlns:a16="http://schemas.microsoft.com/office/drawing/2014/main" id="{030ED4C5-DE8F-4851-BC39-8928CF335083}"/>
            </a:ext>
          </a:extLst>
        </xdr:cNvPr>
        <xdr:cNvSpPr/>
      </xdr:nvSpPr>
      <xdr:spPr>
        <a:xfrm>
          <a:off x="6158164" y="1146677"/>
          <a:ext cx="5826125" cy="56480"/>
        </a:xfrm>
        <a:prstGeom prst="rect">
          <a:avLst/>
        </a:prstGeom>
        <a:gradFill flip="none" rotWithShape="1">
          <a:gsLst>
            <a:gs pos="100000">
              <a:srgbClr val="41801E"/>
            </a:gs>
            <a:gs pos="0">
              <a:srgbClr val="30519A"/>
            </a:gs>
          </a:gsLst>
          <a:lin ang="0" scaled="1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ko-KR" altLang="en-US" sz="1600" b="1">
            <a:latin typeface="KoPub돋움체 Bold" panose="02020603020101020101" pitchFamily="18" charset="-127"/>
            <a:ea typeface="KoPub돋움체 Bold" panose="02020603020101020101" pitchFamily="18" charset="-127"/>
            <a:cs typeface="KoPubWorld돋움체_Pro Bold" panose="00000800000000000000" pitchFamily="50" charset="-127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230605</xdr:colOff>
          <xdr:row>9</xdr:row>
          <xdr:rowOff>150405</xdr:rowOff>
        </xdr:from>
        <xdr:to>
          <xdr:col>21</xdr:col>
          <xdr:colOff>282241</xdr:colOff>
          <xdr:row>12</xdr:row>
          <xdr:rowOff>139377</xdr:rowOff>
        </xdr:to>
        <xdr:pic>
          <xdr:nvPicPr>
            <xdr:cNvPr id="44" name="그림 43">
              <a:extLst>
                <a:ext uri="{FF2B5EF4-FFF2-40B4-BE49-F238E27FC236}">
                  <a16:creationId xmlns:a16="http://schemas.microsoft.com/office/drawing/2014/main" id="{A08ADE2A-50D2-FD3B-43AB-87689284D32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2:$S$3" spid="_x0000_s67028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6186237" y="1684431"/>
              <a:ext cx="5766636" cy="500314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240630</xdr:colOff>
          <xdr:row>14</xdr:row>
          <xdr:rowOff>150409</xdr:rowOff>
        </xdr:from>
        <xdr:to>
          <xdr:col>21</xdr:col>
          <xdr:colOff>292266</xdr:colOff>
          <xdr:row>20</xdr:row>
          <xdr:rowOff>118826</xdr:rowOff>
        </xdr:to>
        <xdr:pic>
          <xdr:nvPicPr>
            <xdr:cNvPr id="45" name="그림 44">
              <a:extLst>
                <a:ext uri="{FF2B5EF4-FFF2-40B4-BE49-F238E27FC236}">
                  <a16:creationId xmlns:a16="http://schemas.microsoft.com/office/drawing/2014/main" id="{2548064A-8BF9-E7A8-DAC2-882E801C783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5:$S$8" spid="_x0000_s6702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6196262" y="2536672"/>
              <a:ext cx="5766636" cy="99110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240631</xdr:colOff>
          <xdr:row>23</xdr:row>
          <xdr:rowOff>40122</xdr:rowOff>
        </xdr:from>
        <xdr:to>
          <xdr:col>21</xdr:col>
          <xdr:colOff>292267</xdr:colOff>
          <xdr:row>31</xdr:row>
          <xdr:rowOff>158433</xdr:rowOff>
        </xdr:to>
        <xdr:pic>
          <xdr:nvPicPr>
            <xdr:cNvPr id="46" name="그림 45">
              <a:extLst>
                <a:ext uri="{FF2B5EF4-FFF2-40B4-BE49-F238E27FC236}">
                  <a16:creationId xmlns:a16="http://schemas.microsoft.com/office/drawing/2014/main" id="{09896C6E-76C2-EBDE-DDBE-23982791A207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10:$S$15" spid="_x0000_s67030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6227774" y="4108658"/>
              <a:ext cx="5739422" cy="1533454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11</xdr:col>
      <xdr:colOff>162606</xdr:colOff>
      <xdr:row>32</xdr:row>
      <xdr:rowOff>10428</xdr:rowOff>
    </xdr:from>
    <xdr:to>
      <xdr:col>14</xdr:col>
      <xdr:colOff>533873</xdr:colOff>
      <xdr:row>33</xdr:row>
      <xdr:rowOff>92183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CFE0A595-0B9B-4D59-9666-606821CEFFB9}"/>
            </a:ext>
          </a:extLst>
        </xdr:cNvPr>
        <xdr:cNvSpPr txBox="1"/>
      </xdr:nvSpPr>
      <xdr:spPr>
        <a:xfrm>
          <a:off x="6072991" y="5481197"/>
          <a:ext cx="1873286" cy="2527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컨설팅 수행내용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232020</xdr:colOff>
          <xdr:row>33</xdr:row>
          <xdr:rowOff>121229</xdr:rowOff>
        </xdr:from>
        <xdr:to>
          <xdr:col>21</xdr:col>
          <xdr:colOff>321061</xdr:colOff>
          <xdr:row>40</xdr:row>
          <xdr:rowOff>11930</xdr:rowOff>
        </xdr:to>
        <xdr:pic>
          <xdr:nvPicPr>
            <xdr:cNvPr id="48" name="그림 47">
              <a:extLst>
                <a:ext uri="{FF2B5EF4-FFF2-40B4-BE49-F238E27FC236}">
                  <a16:creationId xmlns:a16="http://schemas.microsoft.com/office/drawing/2014/main" id="{52DEA890-46A1-B247-4331-5D64B0C59B7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22:$S$23" spid="_x0000_s67031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6142405" y="5762960"/>
              <a:ext cx="5779618" cy="108743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11</xdr:col>
      <xdr:colOff>186852</xdr:colOff>
      <xdr:row>40</xdr:row>
      <xdr:rowOff>80042</xdr:rowOff>
    </xdr:from>
    <xdr:to>
      <xdr:col>14</xdr:col>
      <xdr:colOff>558119</xdr:colOff>
      <xdr:row>41</xdr:row>
      <xdr:rowOff>81577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2AF9ACCA-0BBB-4F61-BFBF-D4655D687A8D}"/>
            </a:ext>
          </a:extLst>
        </xdr:cNvPr>
        <xdr:cNvSpPr txBox="1"/>
      </xdr:nvSpPr>
      <xdr:spPr>
        <a:xfrm>
          <a:off x="6097237" y="6918504"/>
          <a:ext cx="1873286" cy="17249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컨설팅 진행</a:t>
          </a:r>
          <a:r>
            <a:rPr lang="ko-KR" altLang="en-US" sz="1200" baseline="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 사진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11</xdr:col>
      <xdr:colOff>267420</xdr:colOff>
      <xdr:row>41</xdr:row>
      <xdr:rowOff>109903</xdr:rowOff>
    </xdr:from>
    <xdr:to>
      <xdr:col>21</xdr:col>
      <xdr:colOff>268653</xdr:colOff>
      <xdr:row>53</xdr:row>
      <xdr:rowOff>109903</xdr:rowOff>
    </xdr:to>
    <xdr:sp macro="" textlink="">
      <xdr:nvSpPr>
        <xdr:cNvPr id="50" name="직사각형 49">
          <a:extLst>
            <a:ext uri="{FF2B5EF4-FFF2-40B4-BE49-F238E27FC236}">
              <a16:creationId xmlns:a16="http://schemas.microsoft.com/office/drawing/2014/main" id="{4350A917-4A04-7944-EF57-06A73CA9D02F}"/>
            </a:ext>
          </a:extLst>
        </xdr:cNvPr>
        <xdr:cNvSpPr/>
      </xdr:nvSpPr>
      <xdr:spPr>
        <a:xfrm>
          <a:off x="6177805" y="7119326"/>
          <a:ext cx="5691810" cy="2027115"/>
        </a:xfrm>
        <a:prstGeom prst="rect">
          <a:avLst/>
        </a:prstGeom>
        <a:noFill/>
        <a:ln w="12700">
          <a:solidFill>
            <a:schemeClr val="tx1">
              <a:lumMod val="85000"/>
              <a:lumOff val="1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0</xdr:col>
      <xdr:colOff>30079</xdr:colOff>
      <xdr:row>0</xdr:row>
      <xdr:rowOff>60158</xdr:rowOff>
    </xdr:from>
    <xdr:to>
      <xdr:col>10</xdr:col>
      <xdr:colOff>462643</xdr:colOff>
      <xdr:row>53</xdr:row>
      <xdr:rowOff>70184</xdr:rowOff>
    </xdr:to>
    <xdr:sp macro="" textlink="">
      <xdr:nvSpPr>
        <xdr:cNvPr id="55" name="사각형: 둥근 대각선 방향 모서리 54">
          <a:extLst>
            <a:ext uri="{FF2B5EF4-FFF2-40B4-BE49-F238E27FC236}">
              <a16:creationId xmlns:a16="http://schemas.microsoft.com/office/drawing/2014/main" id="{77106454-5EF2-4D1D-9FA7-71AA36843F70}"/>
            </a:ext>
          </a:extLst>
        </xdr:cNvPr>
        <xdr:cNvSpPr/>
      </xdr:nvSpPr>
      <xdr:spPr>
        <a:xfrm>
          <a:off x="30079" y="60158"/>
          <a:ext cx="5875421" cy="9358133"/>
        </a:xfrm>
        <a:prstGeom prst="round2DiagRect">
          <a:avLst>
            <a:gd name="adj1" fmla="val 15105"/>
            <a:gd name="adj2" fmla="val 0"/>
          </a:avLst>
        </a:prstGeom>
        <a:noFill/>
        <a:ln>
          <a:gradFill flip="none" rotWithShape="1">
            <a:gsLst>
              <a:gs pos="100000">
                <a:srgbClr val="30519A"/>
              </a:gs>
              <a:gs pos="0">
                <a:srgbClr val="41801E"/>
              </a:gs>
            </a:gsLst>
            <a:lin ang="18900000" scaled="1"/>
            <a:tileRect/>
          </a:gradFill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95</xdr:col>
      <xdr:colOff>130235</xdr:colOff>
      <xdr:row>9</xdr:row>
      <xdr:rowOff>139845</xdr:rowOff>
    </xdr:from>
    <xdr:to>
      <xdr:col>114</xdr:col>
      <xdr:colOff>160315</xdr:colOff>
      <xdr:row>25</xdr:row>
      <xdr:rowOff>119792</xdr:rowOff>
    </xdr:to>
    <xdr:graphicFrame macro="">
      <xdr:nvGraphicFramePr>
        <xdr:cNvPr id="56" name="차트 55">
          <a:extLst>
            <a:ext uri="{FF2B5EF4-FFF2-40B4-BE49-F238E27FC236}">
              <a16:creationId xmlns:a16="http://schemas.microsoft.com/office/drawing/2014/main" id="{B9E83FF6-876C-42E2-80A3-9BB261D5C1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96</xdr:col>
      <xdr:colOff>40104</xdr:colOff>
      <xdr:row>26</xdr:row>
      <xdr:rowOff>70183</xdr:rowOff>
    </xdr:from>
    <xdr:to>
      <xdr:col>99</xdr:col>
      <xdr:colOff>256302</xdr:colOff>
      <xdr:row>27</xdr:row>
      <xdr:rowOff>147261</xdr:rowOff>
    </xdr:to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50F9442C-F2C6-451D-B459-732425C428FA}"/>
            </a:ext>
          </a:extLst>
        </xdr:cNvPr>
        <xdr:cNvSpPr txBox="1"/>
      </xdr:nvSpPr>
      <xdr:spPr>
        <a:xfrm>
          <a:off x="18679025" y="4501815"/>
          <a:ext cx="1178724" cy="247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종합 의견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96</xdr:col>
      <xdr:colOff>39688</xdr:colOff>
      <xdr:row>2</xdr:row>
      <xdr:rowOff>0</xdr:rowOff>
    </xdr:from>
    <xdr:to>
      <xdr:col>102</xdr:col>
      <xdr:colOff>149977</xdr:colOff>
      <xdr:row>3</xdr:row>
      <xdr:rowOff>77076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D8BFB97E-92D3-43D7-93FC-421C3787940B}"/>
            </a:ext>
          </a:extLst>
        </xdr:cNvPr>
        <xdr:cNvSpPr txBox="1"/>
      </xdr:nvSpPr>
      <xdr:spPr>
        <a:xfrm>
          <a:off x="12471797" y="337344"/>
          <a:ext cx="2074821" cy="2457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총점 및 종합 등급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96</xdr:col>
          <xdr:colOff>39688</xdr:colOff>
          <xdr:row>3</xdr:row>
          <xdr:rowOff>148827</xdr:rowOff>
        </xdr:from>
        <xdr:to>
          <xdr:col>114</xdr:col>
          <xdr:colOff>68264</xdr:colOff>
          <xdr:row>5</xdr:row>
          <xdr:rowOff>113506</xdr:rowOff>
        </xdr:to>
        <xdr:pic>
          <xdr:nvPicPr>
            <xdr:cNvPr id="60" name="그림 59">
              <a:extLst>
                <a:ext uri="{FF2B5EF4-FFF2-40B4-BE49-F238E27FC236}">
                  <a16:creationId xmlns:a16="http://schemas.microsoft.com/office/drawing/2014/main" id="{5AC55626-1409-88B2-1FB6-56CDA4F24A6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25:$S$25" spid="_x0000_s67032"/>
                </a:ext>
              </a:extLst>
            </xdr:cNvPicPr>
          </xdr:nvPicPr>
          <xdr:blipFill>
            <a:blip xmlns:r="http://schemas.openxmlformats.org/officeDocument/2006/relationships" r:embed="rId6"/>
            <a:srcRect/>
            <a:stretch>
              <a:fillRect/>
            </a:stretch>
          </xdr:blipFill>
          <xdr:spPr bwMode="auto">
            <a:xfrm>
              <a:off x="12471797" y="654843"/>
              <a:ext cx="5813030" cy="30202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oneCellAnchor>
    <xdr:from>
      <xdr:col>156</xdr:col>
      <xdr:colOff>20383</xdr:colOff>
      <xdr:row>23</xdr:row>
      <xdr:rowOff>140709</xdr:rowOff>
    </xdr:from>
    <xdr:ext cx="5832000" cy="334406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D35CAAF0-360E-4988-88F7-38B90B425CC0}"/>
            </a:ext>
          </a:extLst>
        </xdr:cNvPr>
        <xdr:cNvSpPr txBox="1"/>
      </xdr:nvSpPr>
      <xdr:spPr>
        <a:xfrm>
          <a:off x="30936946" y="4020162"/>
          <a:ext cx="5832000" cy="33440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 지표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10~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지표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13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은 사업을 활성화하여 고용을 늘리고 성장하는 노력이 필요함</a:t>
          </a:r>
          <a:endParaRPr lang="en-US" altLang="ko-KR" sz="1100">
            <a:latin typeface="KoPub돋움체 Bold" panose="00000800000000000000" pitchFamily="2" charset="-127"/>
            <a:ea typeface="KoPub돋움체 Bold" panose="00000800000000000000" pitchFamily="2" charset="-127"/>
          </a:endParaRPr>
        </a:p>
      </xdr:txBody>
    </xdr:sp>
    <xdr:clientData/>
  </xdr:oneCellAnchor>
  <xdr:oneCellAnchor>
    <xdr:from>
      <xdr:col>156</xdr:col>
      <xdr:colOff>32709</xdr:colOff>
      <xdr:row>49</xdr:row>
      <xdr:rowOff>114134</xdr:rowOff>
    </xdr:from>
    <xdr:ext cx="5779809" cy="697499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5A73B44A-9F3C-42AB-AC10-13AE29A1399D}"/>
            </a:ext>
          </a:extLst>
        </xdr:cNvPr>
        <xdr:cNvSpPr txBox="1"/>
      </xdr:nvSpPr>
      <xdr:spPr>
        <a:xfrm>
          <a:off x="30949272" y="8379056"/>
          <a:ext cx="5779809" cy="697499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 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본 자료는 「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2025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년 경기도 사회적가치지표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(SVI)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측정 </a:t>
          </a:r>
          <a:r>
            <a:rPr lang="ko-KR" altLang="en-US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지원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사업」으로 한국사회적기업진흥원의 </a:t>
          </a:r>
          <a:endParaRPr lang="en-US" altLang="ko-KR" sz="1100">
            <a:solidFill>
              <a:schemeClr val="tx1"/>
            </a:solidFill>
            <a:effectLst/>
            <a:latin typeface="KoPub돋움체 Bold" panose="00000800000000000000" pitchFamily="2" charset="-127"/>
            <a:ea typeface="KoPub돋움체 Bold" panose="00000800000000000000" pitchFamily="2" charset="-127"/>
            <a:cs typeface="+mn-cs"/>
          </a:endParaRPr>
        </a:p>
        <a:p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사회적가치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(SVI)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측정 신청을 위한 교육지원 및 컨설팅 목적으로 측정 및 작성되었으며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, </a:t>
          </a:r>
        </a:p>
        <a:p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별도 타 사업의 제출 자료로는 활용 될 수 없습니다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.</a:t>
          </a:r>
          <a:endParaRPr lang="ko-KR" altLang="ko-KR">
            <a:effectLst/>
            <a:latin typeface="KoPub돋움체 Bold" panose="00000800000000000000" pitchFamily="2" charset="-127"/>
            <a:ea typeface="KoPub돋움체 Bold" panose="00000800000000000000" pitchFamily="2" charset="-127"/>
          </a:endParaRPr>
        </a:p>
      </xdr:txBody>
    </xdr:sp>
    <xdr:clientData/>
  </xdr:oneCellAnchor>
  <xdr:oneCellAnchor>
    <xdr:from>
      <xdr:col>155</xdr:col>
      <xdr:colOff>118574</xdr:colOff>
      <xdr:row>35</xdr:row>
      <xdr:rowOff>44226</xdr:rowOff>
    </xdr:from>
    <xdr:ext cx="5858932" cy="748392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1C6471A8-024D-4098-BEAC-75F83773D33F}"/>
            </a:ext>
          </a:extLst>
        </xdr:cNvPr>
        <xdr:cNvSpPr txBox="1"/>
      </xdr:nvSpPr>
      <xdr:spPr>
        <a:xfrm>
          <a:off x="30916074" y="5947742"/>
          <a:ext cx="5858932" cy="748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SVI</a:t>
          </a:r>
          <a:r>
            <a:rPr lang="ko-KR" altLang="en-US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측정을 위해 신청서 작성과 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증빙자료를 준비하느라 고생 많으셨습니다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.</a:t>
          </a:r>
          <a:r>
            <a:rPr lang="en-US" altLang="ko-KR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 </a:t>
          </a:r>
        </a:p>
        <a:p>
          <a:r>
            <a:rPr lang="ko-KR" altLang="en-US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추가 보완 할 부분이 있다면 준비하시고 한국사회적기업진흥원의 </a:t>
          </a:r>
          <a:r>
            <a:rPr lang="en-US" altLang="ko-KR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SVI</a:t>
          </a:r>
          <a:r>
            <a:rPr lang="ko-KR" altLang="en-US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신청시기에 맞춰</a:t>
          </a:r>
          <a:endParaRPr lang="en-US" altLang="ko-KR" sz="1100" baseline="0">
            <a:latin typeface="KoPub돋움체 Bold" panose="00000800000000000000" pitchFamily="2" charset="-127"/>
            <a:ea typeface="KoPub돋움체 Bold" panose="00000800000000000000" pitchFamily="2" charset="-127"/>
            <a:cs typeface="KoPubWorld돋움체 Bold" panose="00000800000000000000" pitchFamily="2" charset="-127"/>
          </a:endParaRPr>
        </a:p>
        <a:p>
          <a:r>
            <a:rPr lang="ko-KR" altLang="en-US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사회적가치 포털 로 신청하시어 좋은 결과 받으시길 기원드립니다</a:t>
          </a:r>
          <a:r>
            <a:rPr lang="en-US" altLang="ko-KR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. 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 </a:t>
          </a:r>
          <a:endParaRPr lang="en-US" altLang="ko-KR" sz="1100">
            <a:latin typeface="KoPub돋움체 Bold" panose="00000800000000000000" pitchFamily="2" charset="-127"/>
            <a:ea typeface="KoPub돋움체 Bold" panose="00000800000000000000" pitchFamily="2" charset="-127"/>
          </a:endParaRPr>
        </a:p>
      </xdr:txBody>
    </xdr:sp>
    <xdr:clientData/>
  </xdr:oneCellAnchor>
  <xdr:twoCellAnchor>
    <xdr:from>
      <xdr:col>115</xdr:col>
      <xdr:colOff>176892</xdr:colOff>
      <xdr:row>0</xdr:row>
      <xdr:rowOff>172811</xdr:rowOff>
    </xdr:from>
    <xdr:to>
      <xdr:col>134</xdr:col>
      <xdr:colOff>27215</xdr:colOff>
      <xdr:row>3</xdr:row>
      <xdr:rowOff>27214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D365ADEE-0AEA-421A-A6AB-8CE92F3431E8}"/>
            </a:ext>
          </a:extLst>
        </xdr:cNvPr>
        <xdr:cNvSpPr txBox="1"/>
      </xdr:nvSpPr>
      <xdr:spPr>
        <a:xfrm>
          <a:off x="24887463" y="172811"/>
          <a:ext cx="5932716" cy="385082"/>
        </a:xfrm>
        <a:prstGeom prst="rect">
          <a:avLst/>
        </a:prstGeom>
        <a:solidFill>
          <a:schemeClr val="tx2">
            <a:lumMod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ko-KR" altLang="en-US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사회적 가치측정 결과보고서 </a:t>
          </a:r>
          <a:r>
            <a:rPr lang="en-US" altLang="ko-KR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(</a:t>
          </a:r>
          <a:r>
            <a:rPr lang="ko-KR" altLang="en-US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상세</a:t>
          </a:r>
          <a:r>
            <a:rPr lang="en-US" altLang="ko-KR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)</a:t>
          </a:r>
          <a:endParaRPr lang="ko-KR" altLang="en-US" sz="1400" b="0">
            <a:solidFill>
              <a:schemeClr val="bg1"/>
            </a:solidFill>
            <a:latin typeface="KoPub돋움체 Bold" panose="00000800000000000000" pitchFamily="2" charset="-127"/>
            <a:ea typeface="KoPub돋움체 Bold" panose="00000800000000000000" pitchFamily="2" charset="-127"/>
            <a:cs typeface="+mn-cs"/>
          </a:endParaRPr>
        </a:p>
      </xdr:txBody>
    </xdr:sp>
    <xdr:clientData/>
  </xdr:twoCellAnchor>
  <xdr:twoCellAnchor>
    <xdr:from>
      <xdr:col>136</xdr:col>
      <xdr:colOff>-1</xdr:colOff>
      <xdr:row>1</xdr:row>
      <xdr:rowOff>0</xdr:rowOff>
    </xdr:from>
    <xdr:to>
      <xdr:col>153</xdr:col>
      <xdr:colOff>272142</xdr:colOff>
      <xdr:row>3</xdr:row>
      <xdr:rowOff>31296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AC287118-ED25-479A-8227-DC22E8F00E13}"/>
            </a:ext>
          </a:extLst>
        </xdr:cNvPr>
        <xdr:cNvSpPr txBox="1"/>
      </xdr:nvSpPr>
      <xdr:spPr>
        <a:xfrm>
          <a:off x="31119535" y="176893"/>
          <a:ext cx="5728607" cy="385082"/>
        </a:xfrm>
        <a:prstGeom prst="rect">
          <a:avLst/>
        </a:prstGeom>
        <a:solidFill>
          <a:schemeClr val="tx2">
            <a:lumMod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ko-KR" altLang="en-US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사회적 가치측정 결과보고서 </a:t>
          </a:r>
          <a:r>
            <a:rPr lang="en-US" altLang="ko-KR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(</a:t>
          </a:r>
          <a:r>
            <a:rPr lang="ko-KR" altLang="en-US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상세</a:t>
          </a:r>
          <a:r>
            <a:rPr lang="en-US" altLang="ko-KR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)</a:t>
          </a:r>
          <a:endParaRPr lang="ko-KR" altLang="en-US" sz="1400" b="0">
            <a:solidFill>
              <a:schemeClr val="bg1"/>
            </a:solidFill>
            <a:latin typeface="KoPub돋움체 Bold" panose="00000800000000000000" pitchFamily="2" charset="-127"/>
            <a:ea typeface="KoPub돋움체 Bold" panose="00000800000000000000" pitchFamily="2" charset="-127"/>
            <a:cs typeface="+mn-cs"/>
          </a:endParaRPr>
        </a:p>
      </xdr:txBody>
    </xdr:sp>
    <xdr:clientData/>
  </xdr:twoCellAnchor>
  <xdr:twoCellAnchor>
    <xdr:from>
      <xdr:col>155</xdr:col>
      <xdr:colOff>108857</xdr:colOff>
      <xdr:row>1</xdr:row>
      <xdr:rowOff>13607</xdr:rowOff>
    </xdr:from>
    <xdr:to>
      <xdr:col>174</xdr:col>
      <xdr:colOff>0</xdr:colOff>
      <xdr:row>3</xdr:row>
      <xdr:rowOff>44903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5071944A-7867-41B3-8EE1-239C2FA1719F}"/>
            </a:ext>
          </a:extLst>
        </xdr:cNvPr>
        <xdr:cNvSpPr txBox="1"/>
      </xdr:nvSpPr>
      <xdr:spPr>
        <a:xfrm>
          <a:off x="37065857" y="190500"/>
          <a:ext cx="5728607" cy="385082"/>
        </a:xfrm>
        <a:prstGeom prst="rect">
          <a:avLst/>
        </a:prstGeom>
        <a:solidFill>
          <a:schemeClr val="tx2">
            <a:lumMod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ko-KR" altLang="en-US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사회적 가치측정 결과보고서 </a:t>
          </a:r>
          <a:r>
            <a:rPr lang="en-US" altLang="ko-KR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(</a:t>
          </a:r>
          <a:r>
            <a:rPr lang="ko-KR" altLang="en-US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상세</a:t>
          </a:r>
          <a:r>
            <a:rPr lang="en-US" altLang="ko-KR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)</a:t>
          </a:r>
          <a:endParaRPr lang="ko-KR" altLang="en-US" sz="1400" b="0">
            <a:solidFill>
              <a:schemeClr val="bg1"/>
            </a:solidFill>
            <a:latin typeface="KoPub돋움체 Bold" panose="00000800000000000000" pitchFamily="2" charset="-127"/>
            <a:ea typeface="KoPub돋움체 Bold" panose="00000800000000000000" pitchFamily="2" charset="-127"/>
            <a:cs typeface="+mn-cs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95</xdr:col>
          <xdr:colOff>307578</xdr:colOff>
          <xdr:row>28</xdr:row>
          <xdr:rowOff>19844</xdr:rowOff>
        </xdr:from>
        <xdr:to>
          <xdr:col>114</xdr:col>
          <xdr:colOff>27782</xdr:colOff>
          <xdr:row>41</xdr:row>
          <xdr:rowOff>48419</xdr:rowOff>
        </xdr:to>
        <xdr:pic>
          <xdr:nvPicPr>
            <xdr:cNvPr id="9" name="그림 8">
              <a:extLst>
                <a:ext uri="{FF2B5EF4-FFF2-40B4-BE49-F238E27FC236}">
                  <a16:creationId xmlns:a16="http://schemas.microsoft.com/office/drawing/2014/main" id="{8A3D29C6-5639-0C25-928B-B4867B46E71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측정자 입력파일'!$AC$65" spid="_x0000_s67033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12412266" y="4742657"/>
              <a:ext cx="5832079" cy="2221309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22</xdr:col>
      <xdr:colOff>30079</xdr:colOff>
      <xdr:row>0</xdr:row>
      <xdr:rowOff>60158</xdr:rowOff>
    </xdr:from>
    <xdr:to>
      <xdr:col>32</xdr:col>
      <xdr:colOff>462643</xdr:colOff>
      <xdr:row>53</xdr:row>
      <xdr:rowOff>70184</xdr:rowOff>
    </xdr:to>
    <xdr:sp macro="" textlink="">
      <xdr:nvSpPr>
        <xdr:cNvPr id="11" name="사각형: 둥근 대각선 방향 모서리 10">
          <a:extLst>
            <a:ext uri="{FF2B5EF4-FFF2-40B4-BE49-F238E27FC236}">
              <a16:creationId xmlns:a16="http://schemas.microsoft.com/office/drawing/2014/main" id="{176C8D31-1217-49F5-9280-9C166FE0860C}"/>
            </a:ext>
          </a:extLst>
        </xdr:cNvPr>
        <xdr:cNvSpPr/>
      </xdr:nvSpPr>
      <xdr:spPr>
        <a:xfrm>
          <a:off x="30079" y="60158"/>
          <a:ext cx="5875421" cy="9358133"/>
        </a:xfrm>
        <a:prstGeom prst="round2DiagRect">
          <a:avLst>
            <a:gd name="adj1" fmla="val 15105"/>
            <a:gd name="adj2" fmla="val 0"/>
          </a:avLst>
        </a:prstGeom>
        <a:noFill/>
        <a:ln>
          <a:gradFill flip="none" rotWithShape="1">
            <a:gsLst>
              <a:gs pos="100000">
                <a:srgbClr val="30519A"/>
              </a:gs>
              <a:gs pos="0">
                <a:srgbClr val="41801E"/>
              </a:gs>
            </a:gsLst>
            <a:lin ang="18900000" scaled="1"/>
            <a:tileRect/>
          </a:gradFill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53</xdr:col>
      <xdr:colOff>30079</xdr:colOff>
      <xdr:row>0</xdr:row>
      <xdr:rowOff>60158</xdr:rowOff>
    </xdr:from>
    <xdr:to>
      <xdr:col>63</xdr:col>
      <xdr:colOff>462643</xdr:colOff>
      <xdr:row>53</xdr:row>
      <xdr:rowOff>70184</xdr:rowOff>
    </xdr:to>
    <xdr:sp macro="" textlink="">
      <xdr:nvSpPr>
        <xdr:cNvPr id="12" name="사각형: 둥근 대각선 방향 모서리 11">
          <a:extLst>
            <a:ext uri="{FF2B5EF4-FFF2-40B4-BE49-F238E27FC236}">
              <a16:creationId xmlns:a16="http://schemas.microsoft.com/office/drawing/2014/main" id="{E0B6C132-D271-4BC3-A5B4-1F42B23C5AFC}"/>
            </a:ext>
          </a:extLst>
        </xdr:cNvPr>
        <xdr:cNvSpPr/>
      </xdr:nvSpPr>
      <xdr:spPr>
        <a:xfrm>
          <a:off x="12140436" y="60158"/>
          <a:ext cx="5875421" cy="9358133"/>
        </a:xfrm>
        <a:prstGeom prst="round2DiagRect">
          <a:avLst>
            <a:gd name="adj1" fmla="val 15105"/>
            <a:gd name="adj2" fmla="val 0"/>
          </a:avLst>
        </a:prstGeom>
        <a:noFill/>
        <a:ln>
          <a:gradFill flip="none" rotWithShape="1">
            <a:gsLst>
              <a:gs pos="100000">
                <a:srgbClr val="30519A"/>
              </a:gs>
              <a:gs pos="0">
                <a:srgbClr val="41801E"/>
              </a:gs>
            </a:gsLst>
            <a:lin ang="18900000" scaled="1"/>
            <a:tileRect/>
          </a:gradFill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84</xdr:col>
      <xdr:colOff>30079</xdr:colOff>
      <xdr:row>0</xdr:row>
      <xdr:rowOff>60158</xdr:rowOff>
    </xdr:from>
    <xdr:to>
      <xdr:col>94</xdr:col>
      <xdr:colOff>462643</xdr:colOff>
      <xdr:row>53</xdr:row>
      <xdr:rowOff>70184</xdr:rowOff>
    </xdr:to>
    <xdr:sp macro="" textlink="">
      <xdr:nvSpPr>
        <xdr:cNvPr id="14" name="사각형: 둥근 대각선 방향 모서리 13">
          <a:extLst>
            <a:ext uri="{FF2B5EF4-FFF2-40B4-BE49-F238E27FC236}">
              <a16:creationId xmlns:a16="http://schemas.microsoft.com/office/drawing/2014/main" id="{5923F9EB-0020-49FD-8367-2878C57C3F03}"/>
            </a:ext>
          </a:extLst>
        </xdr:cNvPr>
        <xdr:cNvSpPr/>
      </xdr:nvSpPr>
      <xdr:spPr>
        <a:xfrm>
          <a:off x="18127579" y="60158"/>
          <a:ext cx="5875421" cy="9358133"/>
        </a:xfrm>
        <a:prstGeom prst="round2DiagRect">
          <a:avLst>
            <a:gd name="adj1" fmla="val 15105"/>
            <a:gd name="adj2" fmla="val 0"/>
          </a:avLst>
        </a:prstGeom>
        <a:noFill/>
        <a:ln>
          <a:gradFill flip="none" rotWithShape="1">
            <a:gsLst>
              <a:gs pos="100000">
                <a:srgbClr val="30519A"/>
              </a:gs>
              <a:gs pos="0">
                <a:srgbClr val="41801E"/>
              </a:gs>
            </a:gsLst>
            <a:lin ang="18900000" scaled="1"/>
            <a:tileRect/>
          </a:gradFill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oneCellAnchor>
    <xdr:from>
      <xdr:col>33</xdr:col>
      <xdr:colOff>206984</xdr:colOff>
      <xdr:row>48</xdr:row>
      <xdr:rowOff>145971</xdr:rowOff>
    </xdr:from>
    <xdr:ext cx="5807373" cy="697499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8C4B29E2-1336-4055-BD48-2FA45F39BEAA}"/>
            </a:ext>
          </a:extLst>
        </xdr:cNvPr>
        <xdr:cNvSpPr txBox="1"/>
      </xdr:nvSpPr>
      <xdr:spPr>
        <a:xfrm>
          <a:off x="18304484" y="8636828"/>
          <a:ext cx="5807373" cy="697499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본 자료는 「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2025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년 경기도 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SVI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컨설팅사업」에 참여한 기업의 컨설팅 결과입니다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.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한국사회적기업진흥원의 사회적가치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(SVI)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신청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을 위한 교육과 컨설팅의 결과로 제공되는 것으로</a:t>
          </a:r>
          <a:r>
            <a:rPr lang="en-US" altLang="ko-KR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en-US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고유의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목적외에 타 사업의 제출 자료로는 활용 될 수 없습니다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.</a:t>
          </a:r>
        </a:p>
      </xdr:txBody>
    </xdr:sp>
    <xdr:clientData/>
  </xdr:oneCellAnchor>
  <xdr:twoCellAnchor>
    <xdr:from>
      <xdr:col>33</xdr:col>
      <xdr:colOff>230022</xdr:colOff>
      <xdr:row>20</xdr:row>
      <xdr:rowOff>9683</xdr:rowOff>
    </xdr:from>
    <xdr:to>
      <xdr:col>38</xdr:col>
      <xdr:colOff>227618</xdr:colOff>
      <xdr:row>21</xdr:row>
      <xdr:rowOff>84985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B56D611F-E6F2-465F-B6B8-95AFC40F4E80}"/>
            </a:ext>
          </a:extLst>
        </xdr:cNvPr>
        <xdr:cNvSpPr txBox="1"/>
      </xdr:nvSpPr>
      <xdr:spPr>
        <a:xfrm>
          <a:off x="18249081" y="3371448"/>
          <a:ext cx="1622449" cy="2433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[ 1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차 컨설팅 결과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33</xdr:col>
      <xdr:colOff>49608</xdr:colOff>
      <xdr:row>0</xdr:row>
      <xdr:rowOff>49609</xdr:rowOff>
    </xdr:from>
    <xdr:to>
      <xdr:col>52</xdr:col>
      <xdr:colOff>228203</xdr:colOff>
      <xdr:row>53</xdr:row>
      <xdr:rowOff>110288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1226D198-F82E-4B5C-A868-7D779970E5D6}"/>
            </a:ext>
          </a:extLst>
        </xdr:cNvPr>
        <xdr:cNvSpPr/>
      </xdr:nvSpPr>
      <xdr:spPr>
        <a:xfrm>
          <a:off x="41007108" y="49609"/>
          <a:ext cx="6274595" cy="9408786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33</xdr:col>
      <xdr:colOff>236745</xdr:colOff>
      <xdr:row>1</xdr:row>
      <xdr:rowOff>117260</xdr:rowOff>
    </xdr:from>
    <xdr:to>
      <xdr:col>38</xdr:col>
      <xdr:colOff>234341</xdr:colOff>
      <xdr:row>3</xdr:row>
      <xdr:rowOff>24473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859951AD-ABDE-412E-8F9C-723F128AAA56}"/>
            </a:ext>
          </a:extLst>
        </xdr:cNvPr>
        <xdr:cNvSpPr txBox="1"/>
      </xdr:nvSpPr>
      <xdr:spPr>
        <a:xfrm>
          <a:off x="18255804" y="285348"/>
          <a:ext cx="1622449" cy="2433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[ 1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차 컨설팅 주요내용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oneCellAnchor>
    <xdr:from>
      <xdr:col>64</xdr:col>
      <xdr:colOff>206984</xdr:colOff>
      <xdr:row>48</xdr:row>
      <xdr:rowOff>145971</xdr:rowOff>
    </xdr:from>
    <xdr:ext cx="5848196" cy="697499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5094954D-4109-4885-9C0F-94D16CC6563A}"/>
            </a:ext>
          </a:extLst>
        </xdr:cNvPr>
        <xdr:cNvSpPr txBox="1"/>
      </xdr:nvSpPr>
      <xdr:spPr>
        <a:xfrm>
          <a:off x="18304484" y="8636828"/>
          <a:ext cx="5848196" cy="697499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본 자료는 「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2025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년 경기도 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SVI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컨설팅사업」에 참여한 기업의 컨설팅 결과입니다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.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한국사회적기업진흥원의 사회적가치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(SVI)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신청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을 위한 교육과 컨설팅의 결과로 제공되는 것으로</a:t>
          </a:r>
          <a:r>
            <a:rPr lang="en-US" altLang="ko-KR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en-US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고유의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목적외에 타 사업의 제출 자료로는 활용 될 수 없습니다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.</a:t>
          </a:r>
        </a:p>
      </xdr:txBody>
    </xdr:sp>
    <xdr:clientData/>
  </xdr:oneCellAnchor>
  <xdr:twoCellAnchor>
    <xdr:from>
      <xdr:col>64</xdr:col>
      <xdr:colOff>230022</xdr:colOff>
      <xdr:row>20</xdr:row>
      <xdr:rowOff>9683</xdr:rowOff>
    </xdr:from>
    <xdr:to>
      <xdr:col>69</xdr:col>
      <xdr:colOff>227618</xdr:colOff>
      <xdr:row>21</xdr:row>
      <xdr:rowOff>84985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2934A1D4-569B-4212-8374-A3CC806FD3A6}"/>
            </a:ext>
          </a:extLst>
        </xdr:cNvPr>
        <xdr:cNvSpPr txBox="1"/>
      </xdr:nvSpPr>
      <xdr:spPr>
        <a:xfrm>
          <a:off x="18327522" y="3547540"/>
          <a:ext cx="1630453" cy="2521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[ 2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차 컨설팅 결과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64</xdr:col>
      <xdr:colOff>49608</xdr:colOff>
      <xdr:row>0</xdr:row>
      <xdr:rowOff>49609</xdr:rowOff>
    </xdr:from>
    <xdr:to>
      <xdr:col>83</xdr:col>
      <xdr:colOff>228203</xdr:colOff>
      <xdr:row>53</xdr:row>
      <xdr:rowOff>110288</xdr:rowOff>
    </xdr:to>
    <xdr:sp macro="" textlink="">
      <xdr:nvSpPr>
        <xdr:cNvPr id="30" name="직사각형 29">
          <a:extLst>
            <a:ext uri="{FF2B5EF4-FFF2-40B4-BE49-F238E27FC236}">
              <a16:creationId xmlns:a16="http://schemas.microsoft.com/office/drawing/2014/main" id="{36CA4BB9-551C-4DEB-9D82-078E929A6ADB}"/>
            </a:ext>
          </a:extLst>
        </xdr:cNvPr>
        <xdr:cNvSpPr/>
      </xdr:nvSpPr>
      <xdr:spPr>
        <a:xfrm>
          <a:off x="18147108" y="49609"/>
          <a:ext cx="6274595" cy="9408786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64</xdr:col>
      <xdr:colOff>236745</xdr:colOff>
      <xdr:row>1</xdr:row>
      <xdr:rowOff>117260</xdr:rowOff>
    </xdr:from>
    <xdr:to>
      <xdr:col>69</xdr:col>
      <xdr:colOff>234341</xdr:colOff>
      <xdr:row>3</xdr:row>
      <xdr:rowOff>24473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1AD0A1F5-9FC6-4C81-82B3-6215EBBDA44E}"/>
            </a:ext>
          </a:extLst>
        </xdr:cNvPr>
        <xdr:cNvSpPr txBox="1"/>
      </xdr:nvSpPr>
      <xdr:spPr>
        <a:xfrm>
          <a:off x="18334245" y="294153"/>
          <a:ext cx="1630453" cy="2609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[ 2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차 컨설팅 주요내용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244929</xdr:colOff>
          <xdr:row>3</xdr:row>
          <xdr:rowOff>68035</xdr:rowOff>
        </xdr:from>
        <xdr:to>
          <xdr:col>52</xdr:col>
          <xdr:colOff>68036</xdr:colOff>
          <xdr:row>18</xdr:row>
          <xdr:rowOff>115661</xdr:rowOff>
        </xdr:to>
        <xdr:pic>
          <xdr:nvPicPr>
            <xdr:cNvPr id="16" name="그림 15">
              <a:extLst>
                <a:ext uri="{FF2B5EF4-FFF2-40B4-BE49-F238E27FC236}">
                  <a16:creationId xmlns:a16="http://schemas.microsoft.com/office/drawing/2014/main" id="{F8A40BCE-8CC0-A8F8-27D2-4D1FAD69C9C3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측정자 입력파일'!$Q$57:$X$71" spid="_x0000_s67034"/>
                </a:ext>
              </a:extLst>
            </xdr:cNvPicPr>
          </xdr:nvPicPr>
          <xdr:blipFill>
            <a:blip xmlns:r="http://schemas.openxmlformats.org/officeDocument/2006/relationships" r:embed="rId8"/>
            <a:srcRect/>
            <a:stretch>
              <a:fillRect/>
            </a:stretch>
          </xdr:blipFill>
          <xdr:spPr bwMode="auto">
            <a:xfrm>
              <a:off x="18342429" y="598714"/>
              <a:ext cx="5919107" cy="2701018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33</xdr:col>
          <xdr:colOff>217714</xdr:colOff>
          <xdr:row>21</xdr:row>
          <xdr:rowOff>95250</xdr:rowOff>
        </xdr:from>
        <xdr:to>
          <xdr:col>52</xdr:col>
          <xdr:colOff>81643</xdr:colOff>
          <xdr:row>47</xdr:row>
          <xdr:rowOff>153761</xdr:rowOff>
        </xdr:to>
        <xdr:pic>
          <xdr:nvPicPr>
            <xdr:cNvPr id="23" name="그림 22">
              <a:extLst>
                <a:ext uri="{FF2B5EF4-FFF2-40B4-BE49-F238E27FC236}">
                  <a16:creationId xmlns:a16="http://schemas.microsoft.com/office/drawing/2014/main" id="{74DBBD4D-77CC-9D50-9D4B-B32881D92D92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AU$33:$BR$48" spid="_x0000_s67035"/>
                </a:ext>
              </a:extLst>
            </xdr:cNvPicPr>
          </xdr:nvPicPr>
          <xdr:blipFill>
            <a:blip xmlns:r="http://schemas.openxmlformats.org/officeDocument/2006/relationships" r:embed="rId9"/>
            <a:srcRect/>
            <a:stretch>
              <a:fillRect/>
            </a:stretch>
          </xdr:blipFill>
          <xdr:spPr bwMode="auto">
            <a:xfrm>
              <a:off x="18315214" y="3810000"/>
              <a:ext cx="5959929" cy="46577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231321</xdr:colOff>
          <xdr:row>21</xdr:row>
          <xdr:rowOff>81643</xdr:rowOff>
        </xdr:from>
        <xdr:to>
          <xdr:col>83</xdr:col>
          <xdr:colOff>54428</xdr:colOff>
          <xdr:row>47</xdr:row>
          <xdr:rowOff>122464</xdr:rowOff>
        </xdr:to>
        <xdr:pic>
          <xdr:nvPicPr>
            <xdr:cNvPr id="24" name="그림 23">
              <a:extLst>
                <a:ext uri="{FF2B5EF4-FFF2-40B4-BE49-F238E27FC236}">
                  <a16:creationId xmlns:a16="http://schemas.microsoft.com/office/drawing/2014/main" id="{E13666D3-65D3-CDB8-D0AE-EF80DBF0E28E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BT$33:$CQ$48" spid="_x0000_s67036"/>
                </a:ext>
              </a:extLst>
            </xdr:cNvPicPr>
          </xdr:nvPicPr>
          <xdr:blipFill>
            <a:blip xmlns:r="http://schemas.openxmlformats.org/officeDocument/2006/relationships" r:embed="rId10"/>
            <a:srcRect/>
            <a:stretch>
              <a:fillRect/>
            </a:stretch>
          </xdr:blipFill>
          <xdr:spPr bwMode="auto">
            <a:xfrm>
              <a:off x="30684107" y="3796393"/>
              <a:ext cx="5919107" cy="464003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64</xdr:col>
          <xdr:colOff>232681</xdr:colOff>
          <xdr:row>3</xdr:row>
          <xdr:rowOff>57149</xdr:rowOff>
        </xdr:from>
        <xdr:to>
          <xdr:col>83</xdr:col>
          <xdr:colOff>68035</xdr:colOff>
          <xdr:row>18</xdr:row>
          <xdr:rowOff>85725</xdr:rowOff>
        </xdr:to>
        <xdr:pic>
          <xdr:nvPicPr>
            <xdr:cNvPr id="25" name="그림 24">
              <a:extLst>
                <a:ext uri="{FF2B5EF4-FFF2-40B4-BE49-F238E27FC236}">
                  <a16:creationId xmlns:a16="http://schemas.microsoft.com/office/drawing/2014/main" id="{B0CC3268-3FFA-C070-82A1-CB85B2B5E714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측정자 입력파일'!$Q$76:$X$90" spid="_x0000_s67037"/>
                </a:ext>
              </a:extLst>
            </xdr:cNvPicPr>
          </xdr:nvPicPr>
          <xdr:blipFill>
            <a:blip xmlns:r="http://schemas.openxmlformats.org/officeDocument/2006/relationships" r:embed="rId11"/>
            <a:srcRect/>
            <a:stretch>
              <a:fillRect/>
            </a:stretch>
          </xdr:blipFill>
          <xdr:spPr bwMode="auto">
            <a:xfrm>
              <a:off x="30685467" y="587828"/>
              <a:ext cx="5931354" cy="2681968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17</xdr:col>
      <xdr:colOff>117780</xdr:colOff>
      <xdr:row>8</xdr:row>
      <xdr:rowOff>149679</xdr:rowOff>
    </xdr:from>
    <xdr:to>
      <xdr:col>18</xdr:col>
      <xdr:colOff>217315</xdr:colOff>
      <xdr:row>12</xdr:row>
      <xdr:rowOff>108858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D7EE5CE-4533-3C60-E12D-504544982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7851" y="1564822"/>
          <a:ext cx="698250" cy="666750"/>
        </a:xfrm>
        <a:prstGeom prst="rect">
          <a:avLst/>
        </a:prstGeom>
      </xdr:spPr>
    </xdr:pic>
    <xdr:clientData/>
  </xdr:twoCellAnchor>
  <xdr:twoCellAnchor editAs="oneCell">
    <xdr:from>
      <xdr:col>12</xdr:col>
      <xdr:colOff>27216</xdr:colOff>
      <xdr:row>42</xdr:row>
      <xdr:rowOff>140692</xdr:rowOff>
    </xdr:from>
    <xdr:to>
      <xdr:col>14</xdr:col>
      <xdr:colOff>585107</xdr:colOff>
      <xdr:row>52</xdr:row>
      <xdr:rowOff>42719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35EA0E-0DDF-C39F-1E67-FDCDBA43B9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6798"/>
        <a:stretch>
          <a:fillRect/>
        </a:stretch>
      </xdr:blipFill>
      <xdr:spPr>
        <a:xfrm>
          <a:off x="6313716" y="7570192"/>
          <a:ext cx="1755320" cy="165734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70184</xdr:colOff>
      <xdr:row>0</xdr:row>
      <xdr:rowOff>50132</xdr:rowOff>
    </xdr:from>
    <xdr:to>
      <xdr:col>21</xdr:col>
      <xdr:colOff>420104</xdr:colOff>
      <xdr:row>53</xdr:row>
      <xdr:rowOff>120316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C26528BC-BBAD-4CF5-90A2-6A120072243F}"/>
            </a:ext>
          </a:extLst>
        </xdr:cNvPr>
        <xdr:cNvSpPr/>
      </xdr:nvSpPr>
      <xdr:spPr>
        <a:xfrm>
          <a:off x="6042359" y="50132"/>
          <a:ext cx="6055395" cy="9137984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201935</xdr:colOff>
      <xdr:row>8</xdr:row>
      <xdr:rowOff>61869</xdr:rowOff>
    </xdr:from>
    <xdr:to>
      <xdr:col>14</xdr:col>
      <xdr:colOff>573202</xdr:colOff>
      <xdr:row>9</xdr:row>
      <xdr:rowOff>113033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9F0529CF-B665-4624-AAB0-77DBFB8DF8D1}"/>
            </a:ext>
          </a:extLst>
        </xdr:cNvPr>
        <xdr:cNvSpPr txBox="1"/>
      </xdr:nvSpPr>
      <xdr:spPr>
        <a:xfrm>
          <a:off x="6174110" y="1433469"/>
          <a:ext cx="1876217" cy="2226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담당 컨설턴트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oneCellAnchor>
    <xdr:from>
      <xdr:col>39</xdr:col>
      <xdr:colOff>206984</xdr:colOff>
      <xdr:row>48</xdr:row>
      <xdr:rowOff>145971</xdr:rowOff>
    </xdr:from>
    <xdr:ext cx="5832200" cy="697499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27E24EDA-56AC-4270-8B0D-0A658816A2A8}"/>
            </a:ext>
          </a:extLst>
        </xdr:cNvPr>
        <xdr:cNvSpPr txBox="1"/>
      </xdr:nvSpPr>
      <xdr:spPr>
        <a:xfrm>
          <a:off x="18533084" y="8375571"/>
          <a:ext cx="5832200" cy="697499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본 자료는 「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2025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년 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SVI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컨설팅사업」에 참여한 기업의 컨설팅 결과입니다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. 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한국사회적기업진흥원의 사회적가치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(SVI)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측정 신청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을 위한 교육과 컨설팅의 결과로 제공되는 것으로</a:t>
          </a:r>
          <a:r>
            <a:rPr lang="en-US" altLang="ko-KR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</a:t>
          </a:r>
          <a:r>
            <a:rPr lang="ko-KR" altLang="en-US" sz="1100" baseline="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고유의</a:t>
          </a:r>
          <a:r>
            <a:rPr lang="ko-KR" altLang="en-US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 목적외에 타 사업의 제출 자료로는 활용 될 수 없습니다</a:t>
          </a:r>
          <a:r>
            <a:rPr lang="en-US" altLang="ko-KR" sz="1100">
              <a:latin typeface="KoPub돋움체 Bold" panose="02020603020101020101" pitchFamily="18" charset="-127"/>
              <a:ea typeface="KoPub돋움체 Bold" panose="02020603020101020101" pitchFamily="18" charset="-127"/>
              <a:cs typeface="KoPubWorld돋움체_Pro Medium" panose="00000600000000000000" pitchFamily="50" charset="-127"/>
            </a:rPr>
            <a:t>.</a:t>
          </a:r>
        </a:p>
      </xdr:txBody>
    </xdr:sp>
    <xdr:clientData/>
  </xdr:oneCellAnchor>
  <xdr:twoCellAnchor>
    <xdr:from>
      <xdr:col>22</xdr:col>
      <xdr:colOff>28575</xdr:colOff>
      <xdr:row>0</xdr:row>
      <xdr:rowOff>28575</xdr:rowOff>
    </xdr:from>
    <xdr:to>
      <xdr:col>38</xdr:col>
      <xdr:colOff>180474</xdr:colOff>
      <xdr:row>53</xdr:row>
      <xdr:rowOff>120316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5D0104EA-2457-4DFD-A698-592260CEA1DB}"/>
            </a:ext>
          </a:extLst>
        </xdr:cNvPr>
        <xdr:cNvSpPr/>
      </xdr:nvSpPr>
      <xdr:spPr>
        <a:xfrm>
          <a:off x="12144375" y="28575"/>
          <a:ext cx="6095499" cy="9159541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39</xdr:col>
      <xdr:colOff>230606</xdr:colOff>
      <xdr:row>1</xdr:row>
      <xdr:rowOff>100264</xdr:rowOff>
    </xdr:from>
    <xdr:to>
      <xdr:col>43</xdr:col>
      <xdr:colOff>125962</xdr:colOff>
      <xdr:row>3</xdr:row>
      <xdr:rowOff>6894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53C44F9-1DAD-4746-A6AD-BF7E7E9BA18D}"/>
            </a:ext>
          </a:extLst>
        </xdr:cNvPr>
        <xdr:cNvSpPr txBox="1"/>
      </xdr:nvSpPr>
      <xdr:spPr>
        <a:xfrm>
          <a:off x="18556706" y="271714"/>
          <a:ext cx="1190756" cy="24953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지표별 성과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39</xdr:col>
      <xdr:colOff>49608</xdr:colOff>
      <xdr:row>0</xdr:row>
      <xdr:rowOff>49609</xdr:rowOff>
    </xdr:from>
    <xdr:to>
      <xdr:col>58</xdr:col>
      <xdr:colOff>228203</xdr:colOff>
      <xdr:row>53</xdr:row>
      <xdr:rowOff>110288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F396F4C1-CE0B-4C58-A8B5-B42FB1940973}"/>
            </a:ext>
          </a:extLst>
        </xdr:cNvPr>
        <xdr:cNvSpPr/>
      </xdr:nvSpPr>
      <xdr:spPr>
        <a:xfrm>
          <a:off x="18375708" y="49609"/>
          <a:ext cx="6226970" cy="9128479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11</xdr:col>
      <xdr:colOff>200526</xdr:colOff>
      <xdr:row>1</xdr:row>
      <xdr:rowOff>37957</xdr:rowOff>
    </xdr:from>
    <xdr:to>
      <xdr:col>21</xdr:col>
      <xdr:colOff>311651</xdr:colOff>
      <xdr:row>5</xdr:row>
      <xdr:rowOff>104560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DEA5B79C-3A12-4E27-9DAB-C8A2F46C4673}"/>
            </a:ext>
          </a:extLst>
        </xdr:cNvPr>
        <xdr:cNvSpPr/>
      </xdr:nvSpPr>
      <xdr:spPr>
        <a:xfrm>
          <a:off x="6187669" y="214850"/>
          <a:ext cx="5798911" cy="774174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2000" b="1">
              <a:solidFill>
                <a:schemeClr val="tx2">
                  <a:lumMod val="50000"/>
                </a:schemeClr>
              </a:solidFill>
              <a:latin typeface="HY헤드라인M" panose="02030600000101010101" pitchFamily="18" charset="-127"/>
              <a:ea typeface="HY헤드라인M" panose="02030600000101010101" pitchFamily="18" charset="-127"/>
              <a:cs typeface="KoPubWorld돋움체_Pro Bold" panose="00000800000000000000" pitchFamily="50" charset="-127"/>
            </a:rPr>
            <a:t>2025</a:t>
          </a:r>
          <a:r>
            <a:rPr lang="ko-KR" altLang="en-US" sz="2000" b="1">
              <a:solidFill>
                <a:schemeClr val="tx2">
                  <a:lumMod val="50000"/>
                </a:schemeClr>
              </a:solidFill>
              <a:latin typeface="HY헤드라인M" panose="02030600000101010101" pitchFamily="18" charset="-127"/>
              <a:ea typeface="HY헤드라인M" panose="02030600000101010101" pitchFamily="18" charset="-127"/>
              <a:cs typeface="KoPubWorld돋움체_Pro Bold" panose="00000800000000000000" pitchFamily="50" charset="-127"/>
            </a:rPr>
            <a:t>년도 </a:t>
          </a:r>
          <a:r>
            <a:rPr lang="en-US" altLang="ko-KR" sz="2000" b="1">
              <a:solidFill>
                <a:schemeClr val="tx2">
                  <a:lumMod val="50000"/>
                </a:schemeClr>
              </a:solidFill>
              <a:latin typeface="HY헤드라인M" panose="02030600000101010101" pitchFamily="18" charset="-127"/>
              <a:ea typeface="HY헤드라인M" panose="02030600000101010101" pitchFamily="18" charset="-127"/>
              <a:cs typeface="KoPubWorld돋움체_Pro Bold" panose="00000800000000000000" pitchFamily="50" charset="-127"/>
            </a:rPr>
            <a:t>SVI</a:t>
          </a:r>
          <a:r>
            <a:rPr lang="ko-KR" altLang="en-US" sz="2000" b="1">
              <a:solidFill>
                <a:schemeClr val="tx2">
                  <a:lumMod val="50000"/>
                </a:schemeClr>
              </a:solidFill>
              <a:latin typeface="HY헤드라인M" panose="02030600000101010101" pitchFamily="18" charset="-127"/>
              <a:ea typeface="HY헤드라인M" panose="02030600000101010101" pitchFamily="18" charset="-127"/>
              <a:cs typeface="KoPubWorld돋움체_Pro Bold" panose="00000800000000000000" pitchFamily="50" charset="-127"/>
            </a:rPr>
            <a:t> 컨설팅 보고서</a:t>
          </a:r>
        </a:p>
      </xdr:txBody>
    </xdr:sp>
    <xdr:clientData/>
  </xdr:twoCellAnchor>
  <xdr:twoCellAnchor>
    <xdr:from>
      <xdr:col>11</xdr:col>
      <xdr:colOff>183888</xdr:colOff>
      <xdr:row>13</xdr:row>
      <xdr:rowOff>83931</xdr:rowOff>
    </xdr:from>
    <xdr:to>
      <xdr:col>14</xdr:col>
      <xdr:colOff>555155</xdr:colOff>
      <xdr:row>15</xdr:row>
      <xdr:rowOff>4751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2A63B72D-3E9F-4A4D-8FC5-2EF1E533EF6A}"/>
            </a:ext>
          </a:extLst>
        </xdr:cNvPr>
        <xdr:cNvSpPr txBox="1"/>
      </xdr:nvSpPr>
      <xdr:spPr>
        <a:xfrm>
          <a:off x="6156063" y="2312781"/>
          <a:ext cx="1876217" cy="2637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컨설팅 참여기업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11</xdr:col>
      <xdr:colOff>185894</xdr:colOff>
      <xdr:row>21</xdr:row>
      <xdr:rowOff>136069</xdr:rowOff>
    </xdr:from>
    <xdr:to>
      <xdr:col>14</xdr:col>
      <xdr:colOff>557161</xdr:colOff>
      <xdr:row>23</xdr:row>
      <xdr:rowOff>56891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9D550365-F742-4A88-888A-669CE646F4AD}"/>
            </a:ext>
          </a:extLst>
        </xdr:cNvPr>
        <xdr:cNvSpPr txBox="1"/>
      </xdr:nvSpPr>
      <xdr:spPr>
        <a:xfrm>
          <a:off x="6158069" y="3736519"/>
          <a:ext cx="1876217" cy="2637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컨설팅 진행일정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230605</xdr:colOff>
          <xdr:row>9</xdr:row>
          <xdr:rowOff>150405</xdr:rowOff>
        </xdr:from>
        <xdr:to>
          <xdr:col>21</xdr:col>
          <xdr:colOff>286394</xdr:colOff>
          <xdr:row>13</xdr:row>
          <xdr:rowOff>0</xdr:rowOff>
        </xdr:to>
        <xdr:pic>
          <xdr:nvPicPr>
            <xdr:cNvPr id="14" name="그림 13">
              <a:extLst>
                <a:ext uri="{FF2B5EF4-FFF2-40B4-BE49-F238E27FC236}">
                  <a16:creationId xmlns:a16="http://schemas.microsoft.com/office/drawing/2014/main" id="{87E407E7-CFE1-4B90-BF50-7A18BF53E37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2:$S$3" spid="_x0000_s60946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6217748" y="1657658"/>
              <a:ext cx="5728921" cy="51948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240630</xdr:colOff>
          <xdr:row>14</xdr:row>
          <xdr:rowOff>150409</xdr:rowOff>
        </xdr:from>
        <xdr:to>
          <xdr:col>21</xdr:col>
          <xdr:colOff>296419</xdr:colOff>
          <xdr:row>20</xdr:row>
          <xdr:rowOff>125604</xdr:rowOff>
        </xdr:to>
        <xdr:pic>
          <xdr:nvPicPr>
            <xdr:cNvPr id="15" name="그림 14">
              <a:extLst>
                <a:ext uri="{FF2B5EF4-FFF2-40B4-BE49-F238E27FC236}">
                  <a16:creationId xmlns:a16="http://schemas.microsoft.com/office/drawing/2014/main" id="{082A0286-9FED-435F-A604-F171F8CDF97C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5:$S$8" spid="_x0000_s60947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6227773" y="2495024"/>
              <a:ext cx="5728921" cy="98003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11</xdr:col>
      <xdr:colOff>213295</xdr:colOff>
      <xdr:row>30</xdr:row>
      <xdr:rowOff>129318</xdr:rowOff>
    </xdr:from>
    <xdr:to>
      <xdr:col>14</xdr:col>
      <xdr:colOff>584562</xdr:colOff>
      <xdr:row>32</xdr:row>
      <xdr:rowOff>40112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8819EC2F-B76B-41BF-923D-070CE4830541}"/>
            </a:ext>
          </a:extLst>
        </xdr:cNvPr>
        <xdr:cNvSpPr txBox="1"/>
      </xdr:nvSpPr>
      <xdr:spPr>
        <a:xfrm>
          <a:off x="6143955" y="5251252"/>
          <a:ext cx="1880890" cy="25225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컨설팅 수행내용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292465</xdr:colOff>
          <xdr:row>32</xdr:row>
          <xdr:rowOff>78143</xdr:rowOff>
        </xdr:from>
        <xdr:to>
          <xdr:col>21</xdr:col>
          <xdr:colOff>260591</xdr:colOff>
          <xdr:row>38</xdr:row>
          <xdr:rowOff>154043</xdr:rowOff>
        </xdr:to>
        <xdr:pic>
          <xdr:nvPicPr>
            <xdr:cNvPr id="18" name="그림 17">
              <a:extLst>
                <a:ext uri="{FF2B5EF4-FFF2-40B4-BE49-F238E27FC236}">
                  <a16:creationId xmlns:a16="http://schemas.microsoft.com/office/drawing/2014/main" id="{73A139ED-AFBF-4A2A-A7B0-B15B4050B286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22:$S$23" spid="_x0000_s60948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6223125" y="5541539"/>
              <a:ext cx="5692112" cy="110028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11</xdr:col>
      <xdr:colOff>216343</xdr:colOff>
      <xdr:row>39</xdr:row>
      <xdr:rowOff>128198</xdr:rowOff>
    </xdr:from>
    <xdr:to>
      <xdr:col>14</xdr:col>
      <xdr:colOff>587610</xdr:colOff>
      <xdr:row>40</xdr:row>
      <xdr:rowOff>129733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7E587C3C-392E-4F48-9BCE-A4984C98E1CC}"/>
            </a:ext>
          </a:extLst>
        </xdr:cNvPr>
        <xdr:cNvSpPr txBox="1"/>
      </xdr:nvSpPr>
      <xdr:spPr>
        <a:xfrm>
          <a:off x="6147003" y="6786712"/>
          <a:ext cx="1880890" cy="17226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컨설팅 진행</a:t>
          </a:r>
          <a:r>
            <a:rPr lang="ko-KR" altLang="en-US" sz="1200" baseline="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 사진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22</xdr:col>
      <xdr:colOff>210552</xdr:colOff>
      <xdr:row>1</xdr:row>
      <xdr:rowOff>90237</xdr:rowOff>
    </xdr:from>
    <xdr:to>
      <xdr:col>30</xdr:col>
      <xdr:colOff>290762</xdr:colOff>
      <xdr:row>3</xdr:row>
      <xdr:rowOff>11058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7DC872B4-BA27-4405-B158-7509EE0DD9E2}"/>
            </a:ext>
          </a:extLst>
        </xdr:cNvPr>
        <xdr:cNvSpPr txBox="1"/>
      </xdr:nvSpPr>
      <xdr:spPr>
        <a:xfrm>
          <a:off x="12326352" y="261687"/>
          <a:ext cx="3118685" cy="26372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 SVI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지표별 진행내용 및 코멘트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0</xdr:col>
      <xdr:colOff>30079</xdr:colOff>
      <xdr:row>0</xdr:row>
      <xdr:rowOff>60158</xdr:rowOff>
    </xdr:from>
    <xdr:to>
      <xdr:col>10</xdr:col>
      <xdr:colOff>487325</xdr:colOff>
      <xdr:row>53</xdr:row>
      <xdr:rowOff>70184</xdr:rowOff>
    </xdr:to>
    <xdr:sp macro="" textlink="">
      <xdr:nvSpPr>
        <xdr:cNvPr id="23" name="사각형: 둥근 대각선 방향 모서리 22">
          <a:extLst>
            <a:ext uri="{FF2B5EF4-FFF2-40B4-BE49-F238E27FC236}">
              <a16:creationId xmlns:a16="http://schemas.microsoft.com/office/drawing/2014/main" id="{3A0D115F-BBD4-45C9-A026-6CCD16AFE878}"/>
            </a:ext>
          </a:extLst>
        </xdr:cNvPr>
        <xdr:cNvSpPr/>
      </xdr:nvSpPr>
      <xdr:spPr>
        <a:xfrm>
          <a:off x="30079" y="60158"/>
          <a:ext cx="5884281" cy="8815113"/>
        </a:xfrm>
        <a:prstGeom prst="round2DiagRect">
          <a:avLst>
            <a:gd name="adj1" fmla="val 15105"/>
            <a:gd name="adj2" fmla="val 0"/>
          </a:avLst>
        </a:prstGeom>
        <a:noFill/>
        <a:ln>
          <a:gradFill flip="none" rotWithShape="1">
            <a:gsLst>
              <a:gs pos="100000">
                <a:srgbClr val="30519A"/>
              </a:gs>
              <a:gs pos="0">
                <a:srgbClr val="41801E"/>
              </a:gs>
            </a:gsLst>
            <a:lin ang="18900000" scaled="1"/>
            <a:tileRect/>
          </a:gradFill>
        </a:ln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39</xdr:col>
      <xdr:colOff>120314</xdr:colOff>
      <xdr:row>3</xdr:row>
      <xdr:rowOff>90236</xdr:rowOff>
    </xdr:from>
    <xdr:to>
      <xdr:col>58</xdr:col>
      <xdr:colOff>150394</xdr:colOff>
      <xdr:row>19</xdr:row>
      <xdr:rowOff>70183</xdr:rowOff>
    </xdr:to>
    <xdr:graphicFrame macro="">
      <xdr:nvGraphicFramePr>
        <xdr:cNvPr id="24" name="차트 23">
          <a:extLst>
            <a:ext uri="{FF2B5EF4-FFF2-40B4-BE49-F238E27FC236}">
              <a16:creationId xmlns:a16="http://schemas.microsoft.com/office/drawing/2014/main" id="{B43A4497-4384-4F89-8515-4DADED2FC2E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40</xdr:col>
      <xdr:colOff>40104</xdr:colOff>
      <xdr:row>26</xdr:row>
      <xdr:rowOff>70183</xdr:rowOff>
    </xdr:from>
    <xdr:to>
      <xdr:col>43</xdr:col>
      <xdr:colOff>256302</xdr:colOff>
      <xdr:row>27</xdr:row>
      <xdr:rowOff>147261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85ECBEF0-048D-4455-B876-D3B9DE141B67}"/>
            </a:ext>
          </a:extLst>
        </xdr:cNvPr>
        <xdr:cNvSpPr txBox="1"/>
      </xdr:nvSpPr>
      <xdr:spPr>
        <a:xfrm>
          <a:off x="18690054" y="4527883"/>
          <a:ext cx="1187748" cy="24852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종합 의견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xdr:twoCellAnchor>
    <xdr:from>
      <xdr:col>40</xdr:col>
      <xdr:colOff>0</xdr:colOff>
      <xdr:row>20</xdr:row>
      <xdr:rowOff>0</xdr:rowOff>
    </xdr:from>
    <xdr:to>
      <xdr:col>46</xdr:col>
      <xdr:colOff>110289</xdr:colOff>
      <xdr:row>21</xdr:row>
      <xdr:rowOff>77077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C8C0469F-90CD-4FA1-BA6F-BEAC0CD81E88}"/>
            </a:ext>
          </a:extLst>
        </xdr:cNvPr>
        <xdr:cNvSpPr txBox="1"/>
      </xdr:nvSpPr>
      <xdr:spPr>
        <a:xfrm>
          <a:off x="18649950" y="3429000"/>
          <a:ext cx="2053389" cy="24852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[ </a:t>
          </a:r>
          <a:r>
            <a:rPr lang="ko-KR" altLang="en-US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총점 및 종합 등급 </a:t>
          </a:r>
          <a:r>
            <a:rPr lang="en-US" altLang="ko-KR" sz="1200">
              <a:latin typeface="KoPubWorld돋움체_Pro Bold" panose="00000800000000000000" pitchFamily="50" charset="-127"/>
              <a:ea typeface="KoPubWorld돋움체_Pro Bold" panose="00000800000000000000" pitchFamily="50" charset="-127"/>
              <a:cs typeface="KoPubWorld돋움체_Pro Bold" panose="00000800000000000000" pitchFamily="50" charset="-127"/>
            </a:rPr>
            <a:t>]</a:t>
          </a:r>
          <a:endParaRPr lang="ko-KR" altLang="en-US" sz="1200">
            <a:latin typeface="KoPubWorld돋움체_Pro Bold" panose="00000800000000000000" pitchFamily="50" charset="-127"/>
            <a:ea typeface="KoPubWorld돋움체_Pro Bold" panose="00000800000000000000" pitchFamily="50" charset="-127"/>
            <a:cs typeface="KoPubWorld돋움체_Pro Bold" panose="00000800000000000000" pitchFamily="50" charset="-127"/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0</xdr:colOff>
          <xdr:row>22</xdr:row>
          <xdr:rowOff>0</xdr:rowOff>
        </xdr:from>
        <xdr:to>
          <xdr:col>58</xdr:col>
          <xdr:colOff>10432</xdr:colOff>
          <xdr:row>23</xdr:row>
          <xdr:rowOff>118382</xdr:rowOff>
        </xdr:to>
        <xdr:pic>
          <xdr:nvPicPr>
            <xdr:cNvPr id="28" name="그림 27">
              <a:extLst>
                <a:ext uri="{FF2B5EF4-FFF2-40B4-BE49-F238E27FC236}">
                  <a16:creationId xmlns:a16="http://schemas.microsoft.com/office/drawing/2014/main" id="{484627CD-D111-4893-A75C-F49A007EA98B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25:$S$25" spid="_x0000_s60949"/>
                </a:ext>
              </a:extLst>
            </xdr:cNvPicPr>
          </xdr:nvPicPr>
          <xdr:blipFill>
            <a:blip xmlns:r="http://schemas.openxmlformats.org/officeDocument/2006/relationships" r:embed="rId5"/>
            <a:srcRect/>
            <a:stretch>
              <a:fillRect/>
            </a:stretch>
          </xdr:blipFill>
          <xdr:spPr bwMode="auto">
            <a:xfrm>
              <a:off x="18669000" y="3891643"/>
              <a:ext cx="5779861" cy="29527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40</xdr:col>
          <xdr:colOff>0</xdr:colOff>
          <xdr:row>28</xdr:row>
          <xdr:rowOff>13607</xdr:rowOff>
        </xdr:from>
        <xdr:to>
          <xdr:col>58</xdr:col>
          <xdr:colOff>47625</xdr:colOff>
          <xdr:row>41</xdr:row>
          <xdr:rowOff>42182</xdr:rowOff>
        </xdr:to>
        <xdr:pic>
          <xdr:nvPicPr>
            <xdr:cNvPr id="9" name="그림 8">
              <a:extLst>
                <a:ext uri="{FF2B5EF4-FFF2-40B4-BE49-F238E27FC236}">
                  <a16:creationId xmlns:a16="http://schemas.microsoft.com/office/drawing/2014/main" id="{997FA0E9-DB3C-1998-CC92-519A744B3DC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측정자 입력파일'!$AC$65" spid="_x0000_s60950"/>
                </a:ext>
              </a:extLst>
            </xdr:cNvPicPr>
          </xdr:nvPicPr>
          <xdr:blipFill>
            <a:blip xmlns:r="http://schemas.openxmlformats.org/officeDocument/2006/relationships" r:embed="rId6"/>
            <a:srcRect/>
            <a:stretch>
              <a:fillRect/>
            </a:stretch>
          </xdr:blipFill>
          <xdr:spPr bwMode="auto">
            <a:xfrm>
              <a:off x="18669000" y="4966607"/>
              <a:ext cx="5817054" cy="2328182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oneCellAnchor>
    <xdr:from>
      <xdr:col>100</xdr:col>
      <xdr:colOff>20383</xdr:colOff>
      <xdr:row>23</xdr:row>
      <xdr:rowOff>140709</xdr:rowOff>
    </xdr:from>
    <xdr:ext cx="5832000" cy="334406"/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62428BC9-EA84-4D30-87D4-5E8B5C274A6C}"/>
            </a:ext>
          </a:extLst>
        </xdr:cNvPr>
        <xdr:cNvSpPr txBox="1"/>
      </xdr:nvSpPr>
      <xdr:spPr>
        <a:xfrm>
          <a:off x="30833758" y="4084059"/>
          <a:ext cx="5832000" cy="334406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 지표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10~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지표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13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은 사업을 활성화하여 고용을 늘리고 성장하는 노력이 필요함</a:t>
          </a:r>
          <a:endParaRPr lang="en-US" altLang="ko-KR" sz="1100">
            <a:latin typeface="KoPub돋움체 Bold" panose="00000800000000000000" pitchFamily="2" charset="-127"/>
            <a:ea typeface="KoPub돋움체 Bold" panose="00000800000000000000" pitchFamily="2" charset="-127"/>
          </a:endParaRPr>
        </a:p>
      </xdr:txBody>
    </xdr:sp>
    <xdr:clientData/>
  </xdr:oneCellAnchor>
  <xdr:oneCellAnchor>
    <xdr:from>
      <xdr:col>100</xdr:col>
      <xdr:colOff>32709</xdr:colOff>
      <xdr:row>48</xdr:row>
      <xdr:rowOff>91982</xdr:rowOff>
    </xdr:from>
    <xdr:ext cx="5779809" cy="697499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FA909877-F970-49E1-B35F-BF0918C73D3B}"/>
            </a:ext>
          </a:extLst>
        </xdr:cNvPr>
        <xdr:cNvSpPr txBox="1"/>
      </xdr:nvSpPr>
      <xdr:spPr>
        <a:xfrm>
          <a:off x="37180209" y="8066401"/>
          <a:ext cx="5779809" cy="697499"/>
        </a:xfrm>
        <a:prstGeom prst="rect">
          <a:avLst/>
        </a:prstGeom>
        <a:noFill/>
        <a:ln>
          <a:solidFill>
            <a:schemeClr val="tx1">
              <a:lumMod val="85000"/>
              <a:lumOff val="15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 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본 자료는 「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2025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년 사회적가치지표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(SVI)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측정 </a:t>
          </a:r>
          <a:r>
            <a:rPr lang="ko-KR" altLang="en-US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컨설팅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사업」으로 한국사회적기업진흥원의 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 </a:t>
          </a:r>
        </a:p>
        <a:p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사회적가치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(SVI)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측정 신청을 위한 교육지원 및 컨설팅 목적으로 측정 및 작성되었으며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, </a:t>
          </a:r>
        </a:p>
        <a:p>
          <a:r>
            <a:rPr lang="en-US" altLang="ko-KR" sz="1100" baseline="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 </a:t>
          </a:r>
          <a:r>
            <a:rPr lang="ko-KR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별도 타 사업의 제출 자료로는 활용 될 수 없습니다</a:t>
          </a:r>
          <a:r>
            <a:rPr lang="en-US" altLang="ko-KR" sz="1100">
              <a:solidFill>
                <a:schemeClr val="tx1"/>
              </a:solidFill>
              <a:effectLst/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.</a:t>
          </a:r>
          <a:endParaRPr lang="ko-KR" altLang="ko-KR">
            <a:effectLst/>
            <a:latin typeface="KoPub돋움체 Bold" panose="00000800000000000000" pitchFamily="2" charset="-127"/>
            <a:ea typeface="KoPub돋움체 Bold" panose="00000800000000000000" pitchFamily="2" charset="-127"/>
          </a:endParaRPr>
        </a:p>
      </xdr:txBody>
    </xdr:sp>
    <xdr:clientData/>
  </xdr:oneCellAnchor>
  <xdr:oneCellAnchor>
    <xdr:from>
      <xdr:col>99</xdr:col>
      <xdr:colOff>118574</xdr:colOff>
      <xdr:row>35</xdr:row>
      <xdr:rowOff>44226</xdr:rowOff>
    </xdr:from>
    <xdr:ext cx="5858932" cy="748392"/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6F9D1DE5-F25F-45FB-B13A-E7C17991478E}"/>
            </a:ext>
          </a:extLst>
        </xdr:cNvPr>
        <xdr:cNvSpPr txBox="1"/>
      </xdr:nvSpPr>
      <xdr:spPr>
        <a:xfrm>
          <a:off x="30808124" y="6044976"/>
          <a:ext cx="5858932" cy="74839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SVI</a:t>
          </a:r>
          <a:r>
            <a:rPr lang="ko-KR" altLang="en-US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측정을 위해 신청서 작성과 </a:t>
          </a:r>
          <a:r>
            <a:rPr lang="ko-KR" altLang="en-US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증빙자료를 준비하느라 고생 많으셨습니다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.</a:t>
          </a:r>
          <a:r>
            <a:rPr lang="en-US" altLang="ko-KR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 </a:t>
          </a:r>
        </a:p>
        <a:p>
          <a:r>
            <a:rPr lang="ko-KR" altLang="en-US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추가 보완 할 부분이 있다면 준비하시고 한국사회적기업진흥원의 </a:t>
          </a:r>
          <a:r>
            <a:rPr lang="en-US" altLang="ko-KR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SVI</a:t>
          </a:r>
          <a:r>
            <a:rPr lang="ko-KR" altLang="en-US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신청시기에 맞춰 </a:t>
          </a:r>
          <a:endParaRPr lang="en-US" altLang="ko-KR" sz="1100" baseline="0">
            <a:latin typeface="KoPub돋움체 Bold" panose="00000800000000000000" pitchFamily="2" charset="-127"/>
            <a:ea typeface="KoPub돋움체 Bold" panose="00000800000000000000" pitchFamily="2" charset="-127"/>
            <a:cs typeface="KoPubWorld돋움체 Bold" panose="00000800000000000000" pitchFamily="2" charset="-127"/>
          </a:endParaRPr>
        </a:p>
        <a:p>
          <a:r>
            <a:rPr lang="ko-KR" altLang="en-US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사회적가치측정 포탈로 신청하시어 좋은 결과 받으시길 기원드립니다</a:t>
          </a:r>
          <a:r>
            <a:rPr lang="en-US" altLang="ko-KR" sz="1100" baseline="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. </a:t>
          </a:r>
          <a:r>
            <a:rPr lang="en-US" altLang="ko-KR" sz="1100">
              <a:latin typeface="KoPub돋움체 Bold" panose="00000800000000000000" pitchFamily="2" charset="-127"/>
              <a:ea typeface="KoPub돋움체 Bold" panose="00000800000000000000" pitchFamily="2" charset="-127"/>
              <a:cs typeface="KoPubWorld돋움체 Bold" panose="00000800000000000000" pitchFamily="2" charset="-127"/>
            </a:rPr>
            <a:t> </a:t>
          </a:r>
          <a:endParaRPr lang="en-US" altLang="ko-KR" sz="1100">
            <a:latin typeface="KoPub돋움체 Bold" panose="00000800000000000000" pitchFamily="2" charset="-127"/>
            <a:ea typeface="KoPub돋움체 Bold" panose="00000800000000000000" pitchFamily="2" charset="-127"/>
          </a:endParaRPr>
        </a:p>
      </xdr:txBody>
    </xdr:sp>
    <xdr:clientData/>
  </xdr:oneCellAnchor>
  <xdr:twoCellAnchor>
    <xdr:from>
      <xdr:col>59</xdr:col>
      <xdr:colOff>176892</xdr:colOff>
      <xdr:row>0</xdr:row>
      <xdr:rowOff>172811</xdr:rowOff>
    </xdr:from>
    <xdr:to>
      <xdr:col>78</xdr:col>
      <xdr:colOff>27215</xdr:colOff>
      <xdr:row>3</xdr:row>
      <xdr:rowOff>27214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35F880BD-9D7E-4A96-B317-702B58C24155}"/>
            </a:ext>
          </a:extLst>
        </xdr:cNvPr>
        <xdr:cNvSpPr txBox="1"/>
      </xdr:nvSpPr>
      <xdr:spPr>
        <a:xfrm>
          <a:off x="18617292" y="172811"/>
          <a:ext cx="5860598" cy="368753"/>
        </a:xfrm>
        <a:prstGeom prst="rect">
          <a:avLst/>
        </a:prstGeom>
        <a:solidFill>
          <a:schemeClr val="tx2">
            <a:lumMod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altLang="ko-KR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SVI</a:t>
          </a:r>
          <a:r>
            <a:rPr lang="ko-KR" altLang="en-US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지표별 내용</a:t>
          </a:r>
        </a:p>
      </xdr:txBody>
    </xdr:sp>
    <xdr:clientData/>
  </xdr:twoCellAnchor>
  <xdr:twoCellAnchor>
    <xdr:from>
      <xdr:col>99</xdr:col>
      <xdr:colOff>108857</xdr:colOff>
      <xdr:row>1</xdr:row>
      <xdr:rowOff>13607</xdr:rowOff>
    </xdr:from>
    <xdr:to>
      <xdr:col>118</xdr:col>
      <xdr:colOff>0</xdr:colOff>
      <xdr:row>3</xdr:row>
      <xdr:rowOff>44903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21D54BC6-95F7-4894-B9F2-BD80423CCE47}"/>
            </a:ext>
          </a:extLst>
        </xdr:cNvPr>
        <xdr:cNvSpPr txBox="1"/>
      </xdr:nvSpPr>
      <xdr:spPr>
        <a:xfrm>
          <a:off x="30798407" y="185057"/>
          <a:ext cx="5806168" cy="374196"/>
        </a:xfrm>
        <a:prstGeom prst="rect">
          <a:avLst/>
        </a:prstGeom>
        <a:solidFill>
          <a:schemeClr val="tx2">
            <a:lumMod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SVI</a:t>
          </a:r>
          <a:r>
            <a:rPr lang="ko-KR" altLang="en-US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지표별 내용</a:t>
          </a:r>
        </a:p>
      </xdr:txBody>
    </xdr:sp>
    <xdr:clientData/>
  </xdr:twoCellAnchor>
  <xdr:twoCellAnchor>
    <xdr:from>
      <xdr:col>80</xdr:col>
      <xdr:colOff>-1</xdr:colOff>
      <xdr:row>1</xdr:row>
      <xdr:rowOff>0</xdr:rowOff>
    </xdr:from>
    <xdr:to>
      <xdr:col>98</xdr:col>
      <xdr:colOff>10466</xdr:colOff>
      <xdr:row>3</xdr:row>
      <xdr:rowOff>29028</xdr:rowOff>
    </xdr:to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A8BD017C-75C1-4606-AC4C-265A1D8D3759}"/>
            </a:ext>
          </a:extLst>
        </xdr:cNvPr>
        <xdr:cNvSpPr txBox="1"/>
      </xdr:nvSpPr>
      <xdr:spPr>
        <a:xfrm>
          <a:off x="30971950" y="167473"/>
          <a:ext cx="5830137" cy="363973"/>
        </a:xfrm>
        <a:prstGeom prst="rect">
          <a:avLst/>
        </a:prstGeom>
        <a:solidFill>
          <a:schemeClr val="tx2">
            <a:lumMod val="5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r>
            <a:rPr lang="en-US" altLang="ko-KR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SVI</a:t>
          </a:r>
          <a:r>
            <a:rPr lang="ko-KR" altLang="en-US" sz="1400" b="0">
              <a:solidFill>
                <a:schemeClr val="bg1"/>
              </a:solidFill>
              <a:latin typeface="KoPub돋움체 Bold" panose="00000800000000000000" pitchFamily="2" charset="-127"/>
              <a:ea typeface="KoPub돋움체 Bold" panose="00000800000000000000" pitchFamily="2" charset="-127"/>
              <a:cs typeface="+mn-cs"/>
            </a:rPr>
            <a:t>지표별 내용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278562</xdr:colOff>
          <xdr:row>24</xdr:row>
          <xdr:rowOff>0</xdr:rowOff>
        </xdr:from>
        <xdr:to>
          <xdr:col>21</xdr:col>
          <xdr:colOff>282611</xdr:colOff>
          <xdr:row>29</xdr:row>
          <xdr:rowOff>142875</xdr:rowOff>
        </xdr:to>
        <xdr:pic>
          <xdr:nvPicPr>
            <xdr:cNvPr id="34" name="그림 33">
              <a:extLst>
                <a:ext uri="{FF2B5EF4-FFF2-40B4-BE49-F238E27FC236}">
                  <a16:creationId xmlns:a16="http://schemas.microsoft.com/office/drawing/2014/main" id="{01C81767-44C9-4725-B0D4-9569397A347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'보고서 데이터'!$D$17:$S$20" spid="_x0000_s60951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6209222" y="4097547"/>
              <a:ext cx="5728035" cy="996531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11</xdr:col>
      <xdr:colOff>179359</xdr:colOff>
      <xdr:row>40</xdr:row>
      <xdr:rowOff>124083</xdr:rowOff>
    </xdr:from>
    <xdr:to>
      <xdr:col>16</xdr:col>
      <xdr:colOff>179718</xdr:colOff>
      <xdr:row>53</xdr:row>
      <xdr:rowOff>41565</xdr:rowOff>
    </xdr:to>
    <xdr:grpSp>
      <xdr:nvGrpSpPr>
        <xdr:cNvPr id="37" name="그룹 36">
          <a:extLst>
            <a:ext uri="{FF2B5EF4-FFF2-40B4-BE49-F238E27FC236}">
              <a16:creationId xmlns:a16="http://schemas.microsoft.com/office/drawing/2014/main" id="{5632C81F-6579-9745-7038-88A936CFC9C1}"/>
            </a:ext>
          </a:extLst>
        </xdr:cNvPr>
        <xdr:cNvGrpSpPr/>
      </xdr:nvGrpSpPr>
      <xdr:grpSpPr>
        <a:xfrm>
          <a:off x="6000192" y="6897416"/>
          <a:ext cx="2582693" cy="2076482"/>
          <a:chOff x="6110019" y="6953328"/>
          <a:chExt cx="2714086" cy="2119015"/>
        </a:xfrm>
      </xdr:grpSpPr>
      <xdr:sp macro="" textlink="">
        <xdr:nvSpPr>
          <xdr:cNvPr id="20" name="직사각형 19">
            <a:extLst>
              <a:ext uri="{FF2B5EF4-FFF2-40B4-BE49-F238E27FC236}">
                <a16:creationId xmlns:a16="http://schemas.microsoft.com/office/drawing/2014/main" id="{771292EF-833D-4A6C-8BB6-E22B45142478}"/>
              </a:ext>
            </a:extLst>
          </xdr:cNvPr>
          <xdr:cNvSpPr/>
        </xdr:nvSpPr>
        <xdr:spPr>
          <a:xfrm>
            <a:off x="6149235" y="6953328"/>
            <a:ext cx="2674870" cy="2119015"/>
          </a:xfrm>
          <a:prstGeom prst="rect">
            <a:avLst/>
          </a:prstGeom>
          <a:noFill/>
          <a:ln w="12700">
            <a:solidFill>
              <a:schemeClr val="tx1">
                <a:lumMod val="85000"/>
                <a:lumOff val="1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/>
          </a:p>
        </xdr:txBody>
      </xdr:sp>
      <xdr:sp macro="" textlink="">
        <xdr:nvSpPr>
          <xdr:cNvPr id="35" name="대각선 줄무늬 34">
            <a:extLst>
              <a:ext uri="{FF2B5EF4-FFF2-40B4-BE49-F238E27FC236}">
                <a16:creationId xmlns:a16="http://schemas.microsoft.com/office/drawing/2014/main" id="{4EF13491-176C-85B4-EDB8-1FEA91996F99}"/>
              </a:ext>
            </a:extLst>
          </xdr:cNvPr>
          <xdr:cNvSpPr/>
        </xdr:nvSpPr>
        <xdr:spPr>
          <a:xfrm>
            <a:off x="6146321" y="6964033"/>
            <a:ext cx="503207" cy="521179"/>
          </a:xfrm>
          <a:prstGeom prst="diagStripe">
            <a:avLst>
              <a:gd name="adj" fmla="val 36441"/>
            </a:avLst>
          </a:prstGeom>
          <a:solidFill>
            <a:schemeClr val="tx2">
              <a:lumMod val="60000"/>
              <a:lumOff val="40000"/>
            </a:scheme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none" rtlCol="0" anchor="t"/>
          <a:lstStyle/>
          <a:p>
            <a:pPr algn="l"/>
            <a:endParaRPr lang="ko-KR" altLang="en-US" sz="1100">
              <a:solidFill>
                <a:schemeClr val="tx1"/>
              </a:solidFill>
              <a:latin typeface="KoPub돋움체 Bold" panose="02020603020101020101" pitchFamily="18" charset="-127"/>
              <a:ea typeface="KoPub돋움체 Bold" panose="02020603020101020101" pitchFamily="18" charset="-127"/>
            </a:endParaRPr>
          </a:p>
        </xdr:txBody>
      </xdr:sp>
      <xdr:sp macro="" textlink="">
        <xdr:nvSpPr>
          <xdr:cNvPr id="36" name="직사각형 35">
            <a:extLst>
              <a:ext uri="{FF2B5EF4-FFF2-40B4-BE49-F238E27FC236}">
                <a16:creationId xmlns:a16="http://schemas.microsoft.com/office/drawing/2014/main" id="{8071267A-F8C6-47C9-AB55-DDCFD446C687}"/>
              </a:ext>
            </a:extLst>
          </xdr:cNvPr>
          <xdr:cNvSpPr/>
        </xdr:nvSpPr>
        <xdr:spPr>
          <a:xfrm rot="18964710">
            <a:off x="6110019" y="6963674"/>
            <a:ext cx="503207" cy="251963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none" rtlCol="0" anchor="t"/>
          <a:lstStyle/>
          <a:p>
            <a:pPr algn="l"/>
            <a:r>
              <a:rPr lang="en-US" altLang="ko-KR" sz="1050">
                <a:solidFill>
                  <a:schemeClr val="tx1"/>
                </a:solidFill>
                <a:latin typeface="KoPub돋움체 Bold" panose="02020603020101020101" pitchFamily="18" charset="-127"/>
                <a:ea typeface="KoPub돋움체 Bold" panose="02020603020101020101" pitchFamily="18" charset="-127"/>
              </a:rPr>
              <a:t>1</a:t>
            </a:r>
            <a:r>
              <a:rPr lang="ko-KR" altLang="en-US" sz="1050">
                <a:solidFill>
                  <a:schemeClr val="tx1"/>
                </a:solidFill>
                <a:latin typeface="KoPub돋움체 Bold" panose="02020603020101020101" pitchFamily="18" charset="-127"/>
                <a:ea typeface="KoPub돋움체 Bold" panose="02020603020101020101" pitchFamily="18" charset="-127"/>
              </a:rPr>
              <a:t>차</a:t>
            </a:r>
          </a:p>
        </xdr:txBody>
      </xdr:sp>
    </xdr:grpSp>
    <xdr:clientData/>
  </xdr:twoCellAnchor>
  <xdr:twoCellAnchor>
    <xdr:from>
      <xdr:col>16</xdr:col>
      <xdr:colOff>421617</xdr:colOff>
      <xdr:row>40</xdr:row>
      <xdr:rowOff>123723</xdr:rowOff>
    </xdr:from>
    <xdr:to>
      <xdr:col>21</xdr:col>
      <xdr:colOff>125444</xdr:colOff>
      <xdr:row>53</xdr:row>
      <xdr:rowOff>41205</xdr:rowOff>
    </xdr:to>
    <xdr:grpSp>
      <xdr:nvGrpSpPr>
        <xdr:cNvPr id="38" name="그룹 37">
          <a:extLst>
            <a:ext uri="{FF2B5EF4-FFF2-40B4-BE49-F238E27FC236}">
              <a16:creationId xmlns:a16="http://schemas.microsoft.com/office/drawing/2014/main" id="{20643989-483B-4D8F-A49E-36F4791B9CB0}"/>
            </a:ext>
          </a:extLst>
        </xdr:cNvPr>
        <xdr:cNvGrpSpPr/>
      </xdr:nvGrpSpPr>
      <xdr:grpSpPr>
        <a:xfrm>
          <a:off x="8824784" y="6897056"/>
          <a:ext cx="2561327" cy="2076482"/>
          <a:chOff x="6110019" y="6953328"/>
          <a:chExt cx="2714086" cy="2119015"/>
        </a:xfrm>
      </xdr:grpSpPr>
      <xdr:sp macro="" textlink="">
        <xdr:nvSpPr>
          <xdr:cNvPr id="39" name="직사각형 38">
            <a:extLst>
              <a:ext uri="{FF2B5EF4-FFF2-40B4-BE49-F238E27FC236}">
                <a16:creationId xmlns:a16="http://schemas.microsoft.com/office/drawing/2014/main" id="{72CAD445-6F6C-727C-5C97-EDC20D50A373}"/>
              </a:ext>
            </a:extLst>
          </xdr:cNvPr>
          <xdr:cNvSpPr/>
        </xdr:nvSpPr>
        <xdr:spPr>
          <a:xfrm>
            <a:off x="6149235" y="6953328"/>
            <a:ext cx="2674870" cy="2119015"/>
          </a:xfrm>
          <a:prstGeom prst="rect">
            <a:avLst/>
          </a:prstGeom>
          <a:noFill/>
          <a:ln w="12700">
            <a:solidFill>
              <a:schemeClr val="tx1">
                <a:lumMod val="85000"/>
                <a:lumOff val="15000"/>
              </a:schemeClr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ko-KR" altLang="en-US" sz="1100">
              <a:solidFill>
                <a:schemeClr val="bg1"/>
              </a:solidFill>
            </a:endParaRPr>
          </a:p>
        </xdr:txBody>
      </xdr:sp>
      <xdr:sp macro="" textlink="">
        <xdr:nvSpPr>
          <xdr:cNvPr id="40" name="대각선 줄무늬 39">
            <a:extLst>
              <a:ext uri="{FF2B5EF4-FFF2-40B4-BE49-F238E27FC236}">
                <a16:creationId xmlns:a16="http://schemas.microsoft.com/office/drawing/2014/main" id="{A5475BDB-5E64-F7F8-2BA9-4265DEA75A02}"/>
              </a:ext>
            </a:extLst>
          </xdr:cNvPr>
          <xdr:cNvSpPr/>
        </xdr:nvSpPr>
        <xdr:spPr>
          <a:xfrm>
            <a:off x="6146321" y="6964033"/>
            <a:ext cx="503207" cy="521179"/>
          </a:xfrm>
          <a:prstGeom prst="diagStripe">
            <a:avLst>
              <a:gd name="adj" fmla="val 36441"/>
            </a:avLst>
          </a:prstGeom>
          <a:solidFill>
            <a:schemeClr val="tx2">
              <a:lumMod val="75000"/>
            </a:scheme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none" rtlCol="0" anchor="t"/>
          <a:lstStyle/>
          <a:p>
            <a:pPr algn="l"/>
            <a:endParaRPr lang="ko-KR" altLang="en-US" sz="1100">
              <a:solidFill>
                <a:schemeClr val="bg1"/>
              </a:solidFill>
              <a:latin typeface="KoPub돋움체 Bold" panose="02020603020101020101" pitchFamily="18" charset="-127"/>
              <a:ea typeface="KoPub돋움체 Bold" panose="02020603020101020101" pitchFamily="18" charset="-127"/>
            </a:endParaRPr>
          </a:p>
        </xdr:txBody>
      </xdr:sp>
      <xdr:sp macro="" textlink="">
        <xdr:nvSpPr>
          <xdr:cNvPr id="41" name="직사각형 40">
            <a:extLst>
              <a:ext uri="{FF2B5EF4-FFF2-40B4-BE49-F238E27FC236}">
                <a16:creationId xmlns:a16="http://schemas.microsoft.com/office/drawing/2014/main" id="{2E46CC66-6578-45B2-810A-6FF0D3058888}"/>
              </a:ext>
            </a:extLst>
          </xdr:cNvPr>
          <xdr:cNvSpPr/>
        </xdr:nvSpPr>
        <xdr:spPr>
          <a:xfrm rot="18964710">
            <a:off x="6110019" y="6963674"/>
            <a:ext cx="503207" cy="251963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none" rtlCol="0" anchor="t"/>
          <a:lstStyle/>
          <a:p>
            <a:pPr algn="l"/>
            <a:r>
              <a:rPr lang="en-US" altLang="ko-KR" sz="1050">
                <a:solidFill>
                  <a:schemeClr val="bg1"/>
                </a:solidFill>
                <a:latin typeface="KoPub돋움체 Bold" panose="02020603020101020101" pitchFamily="18" charset="-127"/>
                <a:ea typeface="KoPub돋움체 Bold" panose="02020603020101020101" pitchFamily="18" charset="-127"/>
              </a:rPr>
              <a:t>2</a:t>
            </a:r>
            <a:r>
              <a:rPr lang="ko-KR" altLang="en-US" sz="1050">
                <a:solidFill>
                  <a:schemeClr val="bg1"/>
                </a:solidFill>
                <a:latin typeface="KoPub돋움체 Bold" panose="02020603020101020101" pitchFamily="18" charset="-127"/>
                <a:ea typeface="KoPub돋움체 Bold" panose="02020603020101020101" pitchFamily="18" charset="-127"/>
              </a:rPr>
              <a:t>차</a:t>
            </a:r>
          </a:p>
        </xdr:txBody>
      </xdr:sp>
    </xdr:grpSp>
    <xdr:clientData/>
  </xdr:twoCellAnchor>
  <xdr:twoCellAnchor>
    <xdr:from>
      <xdr:col>59</xdr:col>
      <xdr:colOff>88605</xdr:colOff>
      <xdr:row>0</xdr:row>
      <xdr:rowOff>77529</xdr:rowOff>
    </xdr:from>
    <xdr:to>
      <xdr:col>78</xdr:col>
      <xdr:colOff>61955</xdr:colOff>
      <xdr:row>53</xdr:row>
      <xdr:rowOff>121832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BC20D7EE-F2A1-4E02-BAA3-D53A9DD5AA4C}"/>
            </a:ext>
          </a:extLst>
        </xdr:cNvPr>
        <xdr:cNvSpPr/>
      </xdr:nvSpPr>
      <xdr:spPr>
        <a:xfrm>
          <a:off x="24720698" y="77529"/>
          <a:ext cx="6042769" cy="8849390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79</xdr:col>
      <xdr:colOff>110756</xdr:colOff>
      <xdr:row>0</xdr:row>
      <xdr:rowOff>77530</xdr:rowOff>
    </xdr:from>
    <xdr:to>
      <xdr:col>98</xdr:col>
      <xdr:colOff>61955</xdr:colOff>
      <xdr:row>53</xdr:row>
      <xdr:rowOff>110757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AE110301-FDB5-4031-B445-1ECA210A52C4}"/>
            </a:ext>
          </a:extLst>
        </xdr:cNvPr>
        <xdr:cNvSpPr/>
      </xdr:nvSpPr>
      <xdr:spPr>
        <a:xfrm>
          <a:off x="30956250" y="77530"/>
          <a:ext cx="6042769" cy="8838314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99</xdr:col>
      <xdr:colOff>55377</xdr:colOff>
      <xdr:row>0</xdr:row>
      <xdr:rowOff>77530</xdr:rowOff>
    </xdr:from>
    <xdr:to>
      <xdr:col>118</xdr:col>
      <xdr:colOff>95181</xdr:colOff>
      <xdr:row>53</xdr:row>
      <xdr:rowOff>110757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46FB6E8A-257E-4181-BEC9-6FF7E4585565}"/>
            </a:ext>
          </a:extLst>
        </xdr:cNvPr>
        <xdr:cNvSpPr/>
      </xdr:nvSpPr>
      <xdr:spPr>
        <a:xfrm>
          <a:off x="37081046" y="77530"/>
          <a:ext cx="6042769" cy="8838314"/>
        </a:xfrm>
        <a:prstGeom prst="rect">
          <a:avLst/>
        </a:prstGeom>
        <a:noFill/>
        <a:ln>
          <a:solidFill>
            <a:schemeClr val="tx2">
              <a:lumMod val="75000"/>
            </a:schemeClr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155058</xdr:colOff>
      <xdr:row>45</xdr:row>
      <xdr:rowOff>95916</xdr:rowOff>
    </xdr:from>
    <xdr:to>
      <xdr:col>6</xdr:col>
      <xdr:colOff>283314</xdr:colOff>
      <xdr:row>49</xdr:row>
      <xdr:rowOff>41201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4A5632FB-3783-8AC2-7067-BCA31ECC4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5872" y="7571933"/>
          <a:ext cx="1213663" cy="60982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E103728-4D0E-47F1-B4B0-70C2BEBC1763}" name="표2" displayName="표2" ref="A2:B9" totalsRowShown="0" headerRowDxfId="5" headerRowBorderDxfId="4" tableBorderDxfId="3" totalsRowBorderDxfId="2">
  <autoFilter ref="A2:B9" xr:uid="{6E103728-4D0E-47F1-B4B0-70C2BEBC1763}"/>
  <tableColumns count="2">
    <tableColumn id="1" xr3:uid="{BD2EE1F5-5363-4AF0-B7F8-7ECAFE05315C}" name="사회적목적실현유형" dataDxfId="1"/>
    <tableColumn id="2" xr3:uid="{4FA91560-BF6C-49D7-B6EE-EFC8CA6321DE}" name="취약계층_x000a_고용의무" dataDxfId="0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milion@naver.com" TargetMode="External"/><Relationship Id="rId1" Type="http://schemas.openxmlformats.org/officeDocument/2006/relationships/hyperlink" Target="mailto:seoih0706@gmail.com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4" Type="http://schemas.openxmlformats.org/officeDocument/2006/relationships/vmlDrawing" Target="../drawings/vmlDrawing2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7C61D5-4369-4ED0-BEF0-4896AE195A6E}">
  <sheetPr codeName="Sheet11">
    <tabColor rgb="FFC00000"/>
  </sheetPr>
  <dimension ref="A1:AR107"/>
  <sheetViews>
    <sheetView tabSelected="1" zoomScale="85" zoomScaleNormal="85" workbookViewId="0">
      <selection activeCell="G9" sqref="G9"/>
    </sheetView>
  </sheetViews>
  <sheetFormatPr baseColWidth="10" defaultColWidth="9.3984375" defaultRowHeight="15"/>
  <cols>
    <col min="1" max="1" width="9.59765625" style="45" customWidth="1"/>
    <col min="2" max="2" width="21.3984375" style="45" customWidth="1"/>
    <col min="3" max="3" width="14.796875" style="45" customWidth="1"/>
    <col min="4" max="4" width="29.3984375" style="63" customWidth="1"/>
    <col min="5" max="5" width="2" style="63" customWidth="1"/>
    <col min="6" max="6" width="12.796875" style="63" customWidth="1"/>
    <col min="7" max="7" width="10.3984375" style="63" customWidth="1"/>
    <col min="8" max="8" width="14.796875" style="63" customWidth="1"/>
    <col min="9" max="9" width="1.59765625" style="63" customWidth="1"/>
    <col min="10" max="15" width="7.3984375" style="63" customWidth="1"/>
    <col min="16" max="16" width="2" style="45" customWidth="1"/>
    <col min="17" max="17" width="7.19921875" style="122" customWidth="1"/>
    <col min="18" max="18" width="5.3984375" style="45" customWidth="1"/>
    <col min="19" max="19" width="31.59765625" style="46" customWidth="1"/>
    <col min="20" max="23" width="12.796875" style="46" customWidth="1"/>
    <col min="24" max="24" width="7.796875" style="48" customWidth="1"/>
    <col min="25" max="25" width="18.3984375" style="45" customWidth="1"/>
    <col min="26" max="26" width="12.59765625" style="47" customWidth="1"/>
    <col min="27" max="27" width="12.796875" style="49" bestFit="1" customWidth="1"/>
    <col min="28" max="28" width="1.59765625" style="45" customWidth="1"/>
    <col min="29" max="29" width="13.3984375" style="45" bestFit="1" customWidth="1"/>
    <col min="30" max="30" width="8.796875" style="45" customWidth="1"/>
    <col min="31" max="31" width="8.19921875" style="49" customWidth="1"/>
    <col min="32" max="32" width="18.19921875" style="45" customWidth="1"/>
    <col min="33" max="33" width="10.59765625" style="45" customWidth="1"/>
    <col min="34" max="34" width="14.3984375" style="45" customWidth="1"/>
    <col min="35" max="35" width="10.3984375" style="45" customWidth="1"/>
    <col min="36" max="36" width="16.59765625" style="45" customWidth="1"/>
    <col min="37" max="37" width="10.59765625" style="45" customWidth="1"/>
    <col min="38" max="16384" width="9.3984375" style="45"/>
  </cols>
  <sheetData>
    <row r="1" spans="1:37" ht="16.5" customHeight="1" thickBot="1">
      <c r="T1" s="567" t="s">
        <v>512</v>
      </c>
      <c r="U1" s="568"/>
      <c r="V1" s="567" t="s">
        <v>516</v>
      </c>
      <c r="W1" s="568"/>
      <c r="X1" s="569" t="s">
        <v>517</v>
      </c>
      <c r="Y1" s="570"/>
      <c r="Z1" s="570"/>
      <c r="AA1" s="570"/>
      <c r="AB1" s="570"/>
      <c r="AC1" s="570"/>
      <c r="AD1" s="570"/>
      <c r="AE1" s="570"/>
      <c r="AF1" s="570"/>
      <c r="AG1" s="570"/>
      <c r="AH1" s="570"/>
      <c r="AI1" s="570"/>
      <c r="AJ1" s="570"/>
      <c r="AK1" s="571"/>
    </row>
    <row r="2" spans="1:37" s="44" customFormat="1" ht="29.25" customHeight="1">
      <c r="A2" s="103" t="s">
        <v>353</v>
      </c>
      <c r="B2" s="100"/>
      <c r="C2" s="100"/>
      <c r="D2" s="101"/>
      <c r="E2" s="102"/>
      <c r="F2" s="102"/>
      <c r="G2" s="102"/>
      <c r="H2" s="102"/>
      <c r="Q2" s="666" t="s">
        <v>341</v>
      </c>
      <c r="R2" s="597"/>
      <c r="S2" s="597"/>
      <c r="T2" s="518" t="s">
        <v>513</v>
      </c>
      <c r="U2" s="519" t="s">
        <v>514</v>
      </c>
      <c r="V2" s="518" t="s">
        <v>515</v>
      </c>
      <c r="W2" s="519" t="s">
        <v>514</v>
      </c>
      <c r="X2" s="121" t="s">
        <v>340</v>
      </c>
      <c r="Y2" s="121" t="s">
        <v>339</v>
      </c>
      <c r="Z2" s="602" t="s">
        <v>165</v>
      </c>
      <c r="AA2" s="602"/>
      <c r="AC2" s="597" t="s">
        <v>405</v>
      </c>
      <c r="AD2" s="597"/>
      <c r="AE2" s="597"/>
      <c r="AF2" s="597"/>
      <c r="AG2" s="597"/>
      <c r="AH2" s="597"/>
      <c r="AI2" s="597"/>
      <c r="AJ2" s="597"/>
      <c r="AK2" s="597"/>
    </row>
    <row r="3" spans="1:37" ht="7" customHeight="1">
      <c r="D3" s="49"/>
      <c r="E3" s="49"/>
      <c r="F3" s="49"/>
      <c r="G3" s="49"/>
      <c r="H3" s="49"/>
      <c r="I3" s="49"/>
      <c r="J3" s="49"/>
      <c r="K3" s="49"/>
      <c r="L3" s="49"/>
      <c r="M3" s="49"/>
      <c r="N3" s="49"/>
      <c r="O3" s="49"/>
      <c r="T3" s="520"/>
      <c r="U3" s="521"/>
      <c r="V3" s="520"/>
      <c r="W3" s="521"/>
    </row>
    <row r="4" spans="1:37" ht="12.75" customHeight="1" thickBot="1">
      <c r="E4" s="49"/>
      <c r="F4" s="49"/>
      <c r="G4" s="49"/>
      <c r="H4" s="49"/>
      <c r="I4" s="49"/>
      <c r="J4" s="49"/>
      <c r="K4" s="49"/>
      <c r="L4" s="49"/>
      <c r="M4" s="49"/>
      <c r="N4" s="49"/>
      <c r="O4" s="49"/>
      <c r="T4" s="520"/>
      <c r="U4" s="521"/>
      <c r="V4" s="520"/>
      <c r="W4" s="521"/>
    </row>
    <row r="5" spans="1:37" ht="12.75" customHeight="1">
      <c r="A5" s="610" t="s">
        <v>315</v>
      </c>
      <c r="B5" s="653" t="s">
        <v>391</v>
      </c>
      <c r="C5" s="614"/>
      <c r="D5" s="291" t="s">
        <v>531</v>
      </c>
      <c r="E5" s="49"/>
      <c r="I5" s="49"/>
      <c r="J5" s="49"/>
      <c r="K5" s="49"/>
      <c r="L5" s="49"/>
      <c r="M5" s="49"/>
      <c r="N5" s="49"/>
      <c r="O5" s="49"/>
      <c r="Q5" s="603" t="s">
        <v>49</v>
      </c>
      <c r="R5" s="302" t="s">
        <v>167</v>
      </c>
      <c r="S5" s="248"/>
      <c r="T5" s="522"/>
      <c r="U5" s="523">
        <f>IF(AND(T5=1,T6=1),2,IF(OR(T5=1,T6=1),1,0))</f>
        <v>0</v>
      </c>
      <c r="V5" s="522"/>
      <c r="W5" s="523">
        <f>IF(AND(V5=1,V6=1),2,IF(OR(V5=1,V6=1),1,0))</f>
        <v>0</v>
      </c>
      <c r="X5" s="232">
        <v>1</v>
      </c>
      <c r="Y5" s="233" t="s">
        <v>168</v>
      </c>
      <c r="Z5" s="234"/>
      <c r="AA5" s="246">
        <f>IF(AND(X5=1,X6=1),2,IF(OR(X5=1,X6=1),1,0))</f>
        <v>2</v>
      </c>
      <c r="AC5" s="598" t="s">
        <v>49</v>
      </c>
      <c r="AD5" s="605" t="s">
        <v>546</v>
      </c>
      <c r="AE5" s="605"/>
      <c r="AF5" s="605"/>
      <c r="AG5" s="605"/>
      <c r="AH5" s="605"/>
      <c r="AI5" s="605"/>
      <c r="AJ5" s="605"/>
      <c r="AK5" s="605"/>
    </row>
    <row r="6" spans="1:37" ht="12.75" customHeight="1" thickBot="1">
      <c r="A6" s="610"/>
      <c r="B6" s="653" t="s">
        <v>392</v>
      </c>
      <c r="C6" s="614"/>
      <c r="D6" s="291" t="s">
        <v>532</v>
      </c>
      <c r="E6" s="49"/>
      <c r="I6" s="49"/>
      <c r="J6" s="49"/>
      <c r="K6" s="49"/>
      <c r="L6" s="49"/>
      <c r="M6" s="49"/>
      <c r="N6" s="49"/>
      <c r="O6" s="49"/>
      <c r="Q6" s="604"/>
      <c r="R6" s="303" t="s">
        <v>170</v>
      </c>
      <c r="S6" s="249"/>
      <c r="T6" s="524"/>
      <c r="U6" s="525"/>
      <c r="V6" s="524"/>
      <c r="W6" s="525"/>
      <c r="X6" s="235">
        <v>1</v>
      </c>
      <c r="Y6" s="231"/>
      <c r="Z6" s="247"/>
      <c r="AA6" s="244"/>
      <c r="AB6" s="51"/>
      <c r="AC6" s="598"/>
      <c r="AD6" s="605"/>
      <c r="AE6" s="605"/>
      <c r="AF6" s="605"/>
      <c r="AG6" s="605"/>
      <c r="AH6" s="605"/>
      <c r="AI6" s="605"/>
      <c r="AJ6" s="605"/>
      <c r="AK6" s="605"/>
    </row>
    <row r="7" spans="1:37" ht="12.75" customHeight="1">
      <c r="A7" s="610"/>
      <c r="B7" s="653" t="s">
        <v>393</v>
      </c>
      <c r="C7" s="614"/>
      <c r="D7" s="565" t="s">
        <v>533</v>
      </c>
      <c r="E7" s="49"/>
      <c r="I7" s="49"/>
      <c r="J7" s="49"/>
      <c r="K7" s="49"/>
      <c r="L7" s="49"/>
      <c r="M7" s="49"/>
      <c r="N7" s="49"/>
      <c r="O7" s="49"/>
      <c r="Q7" s="312"/>
      <c r="S7" s="45"/>
      <c r="T7" s="526"/>
      <c r="U7" s="527"/>
      <c r="V7" s="526"/>
      <c r="W7" s="527"/>
      <c r="X7" s="45"/>
      <c r="Z7" s="49"/>
      <c r="AA7" s="224"/>
      <c r="AB7" s="51"/>
      <c r="AC7" s="49"/>
      <c r="AD7" s="316"/>
      <c r="AE7" s="316"/>
      <c r="AF7" s="316"/>
      <c r="AG7" s="316"/>
      <c r="AH7" s="316"/>
      <c r="AI7" s="316"/>
      <c r="AJ7" s="316"/>
      <c r="AK7" s="316"/>
    </row>
    <row r="8" spans="1:37" ht="16" thickBot="1">
      <c r="A8" s="610"/>
      <c r="B8" s="610" t="s">
        <v>166</v>
      </c>
      <c r="C8" s="610"/>
      <c r="D8" s="389">
        <v>77</v>
      </c>
      <c r="E8" s="49"/>
      <c r="I8" s="49"/>
      <c r="J8" s="49"/>
      <c r="K8" s="49"/>
      <c r="L8" s="49"/>
      <c r="M8" s="49"/>
      <c r="N8" s="49"/>
      <c r="O8" s="49"/>
      <c r="Q8" s="313"/>
      <c r="R8" s="51"/>
      <c r="S8" s="51"/>
      <c r="T8" s="528"/>
      <c r="U8" s="529"/>
      <c r="V8" s="528"/>
      <c r="W8" s="529"/>
      <c r="X8" s="51"/>
      <c r="Y8" s="51"/>
      <c r="Z8" s="52"/>
      <c r="AA8" s="224"/>
      <c r="AB8" s="51"/>
      <c r="AC8" s="122"/>
      <c r="AD8" s="316"/>
      <c r="AE8" s="316"/>
      <c r="AF8" s="316"/>
      <c r="AG8" s="316"/>
      <c r="AH8" s="316"/>
      <c r="AI8" s="316"/>
      <c r="AJ8" s="316"/>
      <c r="AK8" s="316"/>
    </row>
    <row r="9" spans="1:37">
      <c r="A9" s="610"/>
      <c r="B9" s="610" t="s">
        <v>61</v>
      </c>
      <c r="C9" s="610"/>
      <c r="D9" s="273" t="s">
        <v>534</v>
      </c>
      <c r="E9" s="49"/>
      <c r="I9" s="49"/>
      <c r="J9" s="61" t="s">
        <v>107</v>
      </c>
      <c r="K9" s="49"/>
      <c r="L9" s="49"/>
      <c r="M9" s="49"/>
      <c r="N9" s="49"/>
      <c r="O9" s="49"/>
      <c r="Q9" s="604" t="s">
        <v>95</v>
      </c>
      <c r="R9" s="304" t="s">
        <v>171</v>
      </c>
      <c r="S9" s="227"/>
      <c r="T9" s="522"/>
      <c r="U9" s="523">
        <f>SUM(T9:T13)</f>
        <v>0</v>
      </c>
      <c r="V9" s="522"/>
      <c r="W9" s="523">
        <f>SUM(V9:V13)</f>
        <v>0</v>
      </c>
      <c r="X9" s="232">
        <v>1</v>
      </c>
      <c r="Y9" s="233" t="s">
        <v>168</v>
      </c>
      <c r="Z9" s="234"/>
      <c r="AA9" s="502">
        <f>SUM(X9:X13)</f>
        <v>5</v>
      </c>
      <c r="AB9" s="51"/>
      <c r="AC9" s="599" t="s">
        <v>95</v>
      </c>
      <c r="AD9" s="606" t="s">
        <v>548</v>
      </c>
      <c r="AE9" s="606"/>
      <c r="AF9" s="606"/>
      <c r="AG9" s="606"/>
      <c r="AH9" s="606"/>
      <c r="AI9" s="606"/>
      <c r="AJ9" s="606"/>
      <c r="AK9" s="606"/>
    </row>
    <row r="10" spans="1:37" ht="13.5" customHeight="1">
      <c r="A10" s="610"/>
      <c r="B10" s="610" t="s">
        <v>75</v>
      </c>
      <c r="C10" s="610"/>
      <c r="D10" s="273" t="s">
        <v>535</v>
      </c>
      <c r="E10" s="49"/>
      <c r="I10" s="49"/>
      <c r="J10" s="647" t="s">
        <v>107</v>
      </c>
      <c r="K10" s="645" t="s">
        <v>331</v>
      </c>
      <c r="L10" s="645" t="s">
        <v>332</v>
      </c>
      <c r="M10" s="645" t="s">
        <v>197</v>
      </c>
      <c r="N10" s="645" t="s">
        <v>198</v>
      </c>
      <c r="O10" s="629" t="s">
        <v>199</v>
      </c>
      <c r="Q10" s="604"/>
      <c r="R10" s="305" t="s">
        <v>172</v>
      </c>
      <c r="S10" s="53"/>
      <c r="T10" s="530"/>
      <c r="U10" s="531"/>
      <c r="V10" s="530"/>
      <c r="W10" s="531"/>
      <c r="X10" s="123">
        <v>1</v>
      </c>
      <c r="Y10" s="50"/>
      <c r="Z10" s="211"/>
      <c r="AA10" s="503"/>
      <c r="AB10" s="51"/>
      <c r="AC10" s="600"/>
      <c r="AD10" s="606"/>
      <c r="AE10" s="606"/>
      <c r="AF10" s="606"/>
      <c r="AG10" s="606"/>
      <c r="AH10" s="606"/>
      <c r="AI10" s="606"/>
      <c r="AJ10" s="606"/>
      <c r="AK10" s="606"/>
    </row>
    <row r="11" spans="1:37">
      <c r="A11" s="610"/>
      <c r="B11" s="610" t="s">
        <v>78</v>
      </c>
      <c r="C11" s="610"/>
      <c r="D11" s="273" t="s">
        <v>536</v>
      </c>
      <c r="E11" s="49"/>
      <c r="I11" s="49"/>
      <c r="J11" s="648"/>
      <c r="K11" s="646"/>
      <c r="L11" s="646"/>
      <c r="M11" s="646"/>
      <c r="N11" s="646"/>
      <c r="O11" s="630"/>
      <c r="Q11" s="604"/>
      <c r="R11" s="305" t="s">
        <v>174</v>
      </c>
      <c r="S11" s="53"/>
      <c r="T11" s="530"/>
      <c r="U11" s="531"/>
      <c r="V11" s="530"/>
      <c r="W11" s="531"/>
      <c r="X11" s="123">
        <v>1</v>
      </c>
      <c r="Y11" s="50"/>
      <c r="Z11" s="211"/>
      <c r="AA11" s="503"/>
      <c r="AC11" s="600"/>
      <c r="AD11" s="606"/>
      <c r="AE11" s="606"/>
      <c r="AF11" s="606"/>
      <c r="AG11" s="606"/>
      <c r="AH11" s="606"/>
      <c r="AI11" s="606"/>
      <c r="AJ11" s="606"/>
      <c r="AK11" s="606"/>
    </row>
    <row r="12" spans="1:37">
      <c r="A12" s="610"/>
      <c r="B12" s="610" t="s">
        <v>69</v>
      </c>
      <c r="C12" s="610"/>
      <c r="D12" s="274">
        <v>2011</v>
      </c>
      <c r="E12" s="49"/>
      <c r="I12" s="49"/>
      <c r="J12" s="62" t="s">
        <v>205</v>
      </c>
      <c r="K12" s="108">
        <v>3</v>
      </c>
      <c r="L12" s="108">
        <v>1</v>
      </c>
      <c r="M12" s="108">
        <v>1</v>
      </c>
      <c r="N12" s="108"/>
      <c r="O12" s="282">
        <v>1</v>
      </c>
      <c r="Q12" s="604"/>
      <c r="R12" s="305" t="s">
        <v>176</v>
      </c>
      <c r="S12" s="53"/>
      <c r="T12" s="530"/>
      <c r="U12" s="531"/>
      <c r="V12" s="530"/>
      <c r="W12" s="531"/>
      <c r="X12" s="123">
        <v>1</v>
      </c>
      <c r="Y12" s="50"/>
      <c r="Z12" s="211"/>
      <c r="AA12" s="503"/>
      <c r="AC12" s="600"/>
      <c r="AD12" s="606"/>
      <c r="AE12" s="606"/>
      <c r="AF12" s="606"/>
      <c r="AG12" s="606"/>
      <c r="AH12" s="606"/>
      <c r="AI12" s="606"/>
      <c r="AJ12" s="606"/>
      <c r="AK12" s="606"/>
    </row>
    <row r="13" spans="1:37" ht="16" thickBot="1">
      <c r="A13" s="610"/>
      <c r="B13" s="610" t="s">
        <v>173</v>
      </c>
      <c r="C13" s="610"/>
      <c r="D13" s="273" t="s">
        <v>537</v>
      </c>
      <c r="E13" s="49"/>
      <c r="I13" s="49"/>
      <c r="J13" s="62" t="s">
        <v>208</v>
      </c>
      <c r="K13" s="108">
        <v>2</v>
      </c>
      <c r="L13" s="108">
        <v>0</v>
      </c>
      <c r="M13" s="108">
        <v>1</v>
      </c>
      <c r="N13" s="108"/>
      <c r="O13" s="282">
        <v>1</v>
      </c>
      <c r="Q13" s="604"/>
      <c r="R13" s="306" t="s">
        <v>179</v>
      </c>
      <c r="S13" s="229"/>
      <c r="T13" s="524"/>
      <c r="U13" s="525"/>
      <c r="V13" s="524"/>
      <c r="W13" s="525"/>
      <c r="X13" s="235">
        <v>1</v>
      </c>
      <c r="Y13" s="231"/>
      <c r="Z13" s="247"/>
      <c r="AA13" s="504"/>
      <c r="AC13" s="601"/>
      <c r="AD13" s="606"/>
      <c r="AE13" s="606"/>
      <c r="AF13" s="606"/>
      <c r="AG13" s="606"/>
      <c r="AH13" s="606"/>
      <c r="AI13" s="606"/>
      <c r="AJ13" s="606"/>
      <c r="AK13" s="606"/>
    </row>
    <row r="14" spans="1:37" ht="16" thickBot="1">
      <c r="A14" s="610"/>
      <c r="B14" s="610" t="s">
        <v>452</v>
      </c>
      <c r="C14" s="610"/>
      <c r="D14" s="273" t="s">
        <v>538</v>
      </c>
      <c r="E14" s="49"/>
      <c r="I14" s="49"/>
      <c r="J14" s="62" t="s">
        <v>211</v>
      </c>
      <c r="K14" s="108">
        <v>3</v>
      </c>
      <c r="L14" s="108">
        <v>1</v>
      </c>
      <c r="M14" s="108">
        <v>1</v>
      </c>
      <c r="N14" s="108"/>
      <c r="O14" s="282">
        <v>1</v>
      </c>
      <c r="Q14" s="313"/>
      <c r="R14" s="51"/>
      <c r="S14" s="51"/>
      <c r="T14" s="528"/>
      <c r="U14" s="529"/>
      <c r="V14" s="528"/>
      <c r="W14" s="529"/>
      <c r="X14" s="51"/>
      <c r="Y14" s="51"/>
      <c r="Z14" s="52"/>
      <c r="AA14" s="505"/>
      <c r="AC14" s="122"/>
      <c r="AD14" s="316"/>
      <c r="AE14" s="316"/>
      <c r="AF14" s="316"/>
      <c r="AG14" s="316"/>
      <c r="AH14" s="316"/>
      <c r="AI14" s="316"/>
      <c r="AJ14" s="316"/>
      <c r="AK14" s="316"/>
    </row>
    <row r="15" spans="1:37">
      <c r="A15" s="610"/>
      <c r="B15" s="610" t="s">
        <v>175</v>
      </c>
      <c r="C15" s="610"/>
      <c r="D15" s="273" t="s">
        <v>539</v>
      </c>
      <c r="E15" s="49"/>
      <c r="I15" s="49"/>
      <c r="J15" s="62" t="s">
        <v>214</v>
      </c>
      <c r="K15" s="108">
        <v>3</v>
      </c>
      <c r="L15" s="108">
        <v>1</v>
      </c>
      <c r="M15" s="108">
        <v>1</v>
      </c>
      <c r="N15" s="108"/>
      <c r="O15" s="282">
        <v>1</v>
      </c>
      <c r="Q15" s="654" t="s">
        <v>52</v>
      </c>
      <c r="R15" s="307" t="s">
        <v>63</v>
      </c>
      <c r="S15" s="227" t="s">
        <v>183</v>
      </c>
      <c r="T15" s="522"/>
      <c r="U15" s="532">
        <f>SUM(T15:T20)</f>
        <v>0</v>
      </c>
      <c r="V15" s="522"/>
      <c r="W15" s="532">
        <f>SUM(V15:V20)</f>
        <v>0</v>
      </c>
      <c r="X15" s="233"/>
      <c r="Y15" s="438">
        <f>$D$52/$D$51</f>
        <v>0.76</v>
      </c>
      <c r="Z15" s="439">
        <f>IF($D$22="O",IF($Y$15&gt; VLOOKUP($D$58,코드!$E$4:$AM$43,2,0),1,0),"해당사항없음")</f>
        <v>0</v>
      </c>
      <c r="AA15" s="506">
        <f>SUM(Z15:Z20)</f>
        <v>14</v>
      </c>
      <c r="AC15" s="599" t="s">
        <v>52</v>
      </c>
      <c r="AD15" s="657" t="s">
        <v>549</v>
      </c>
      <c r="AE15" s="658"/>
      <c r="AF15" s="658"/>
      <c r="AG15" s="658"/>
      <c r="AH15" s="658"/>
      <c r="AI15" s="658"/>
      <c r="AJ15" s="658"/>
      <c r="AK15" s="659"/>
    </row>
    <row r="16" spans="1:37">
      <c r="A16" s="610"/>
      <c r="B16" s="610" t="s">
        <v>390</v>
      </c>
      <c r="C16" s="610"/>
      <c r="D16" s="566" t="s">
        <v>543</v>
      </c>
      <c r="E16" s="49"/>
      <c r="I16" s="49"/>
      <c r="J16" s="62" t="s">
        <v>216</v>
      </c>
      <c r="K16" s="108">
        <v>3</v>
      </c>
      <c r="L16" s="108">
        <v>1</v>
      </c>
      <c r="M16" s="108">
        <v>1</v>
      </c>
      <c r="N16" s="108"/>
      <c r="O16" s="282">
        <v>1</v>
      </c>
      <c r="Q16" s="655"/>
      <c r="R16" s="308"/>
      <c r="S16" s="53" t="s">
        <v>184</v>
      </c>
      <c r="T16" s="530"/>
      <c r="U16" s="533"/>
      <c r="V16" s="530"/>
      <c r="W16" s="533"/>
      <c r="X16" s="50"/>
      <c r="Y16" s="440">
        <f>$D62</f>
        <v>17842.088566243194</v>
      </c>
      <c r="Z16" s="441">
        <f>IF($D$22="O",IF($Y$16&gt; VLOOKUP($D$58,코드!$E$4:$AM$43,3,0),1,0),"해당사항없음")</f>
        <v>1</v>
      </c>
      <c r="AA16" s="507"/>
      <c r="AC16" s="600"/>
      <c r="AD16" s="660"/>
      <c r="AE16" s="661"/>
      <c r="AF16" s="661"/>
      <c r="AG16" s="661"/>
      <c r="AH16" s="661"/>
      <c r="AI16" s="661"/>
      <c r="AJ16" s="661"/>
      <c r="AK16" s="662"/>
    </row>
    <row r="17" spans="1:37">
      <c r="A17" s="610"/>
      <c r="B17" s="610" t="s">
        <v>178</v>
      </c>
      <c r="C17" s="610"/>
      <c r="D17" s="274" t="s">
        <v>540</v>
      </c>
      <c r="E17" s="49"/>
      <c r="I17" s="49"/>
      <c r="J17" s="62" t="s">
        <v>219</v>
      </c>
      <c r="K17" s="108"/>
      <c r="L17" s="108"/>
      <c r="M17" s="108"/>
      <c r="N17" s="108"/>
      <c r="O17" s="282"/>
      <c r="Q17" s="655"/>
      <c r="R17" s="308"/>
      <c r="S17" s="53" t="s">
        <v>186</v>
      </c>
      <c r="T17" s="530"/>
      <c r="U17" s="533"/>
      <c r="V17" s="530"/>
      <c r="W17" s="533"/>
      <c r="X17" s="123">
        <v>2</v>
      </c>
      <c r="Y17" s="442"/>
      <c r="Z17" s="441" t="str">
        <f>IF($D$22="O","해당사항없음",$X$17)</f>
        <v>해당사항없음</v>
      </c>
      <c r="AA17" s="507"/>
      <c r="AC17" s="600"/>
      <c r="AD17" s="660"/>
      <c r="AE17" s="661"/>
      <c r="AF17" s="661"/>
      <c r="AG17" s="661"/>
      <c r="AH17" s="661"/>
      <c r="AI17" s="661"/>
      <c r="AJ17" s="661"/>
      <c r="AK17" s="662"/>
    </row>
    <row r="18" spans="1:37">
      <c r="A18" s="610"/>
      <c r="B18" s="653" t="s">
        <v>509</v>
      </c>
      <c r="C18" s="614"/>
      <c r="D18" s="273" t="s">
        <v>541</v>
      </c>
      <c r="E18" s="49"/>
      <c r="I18" s="49"/>
      <c r="J18" s="62" t="s">
        <v>220</v>
      </c>
      <c r="K18" s="108"/>
      <c r="L18" s="108"/>
      <c r="M18" s="108"/>
      <c r="N18" s="108"/>
      <c r="O18" s="282"/>
      <c r="Q18" s="655"/>
      <c r="R18" s="308"/>
      <c r="S18" s="53" t="s">
        <v>188</v>
      </c>
      <c r="T18" s="530"/>
      <c r="U18" s="533"/>
      <c r="V18" s="530"/>
      <c r="W18" s="533"/>
      <c r="X18" s="123">
        <v>1</v>
      </c>
      <c r="Y18" s="442" t="s">
        <v>168</v>
      </c>
      <c r="Z18" s="443">
        <f>X18</f>
        <v>1</v>
      </c>
      <c r="AA18" s="507"/>
      <c r="AC18" s="600"/>
      <c r="AD18" s="660"/>
      <c r="AE18" s="661"/>
      <c r="AF18" s="661"/>
      <c r="AG18" s="661"/>
      <c r="AH18" s="661"/>
      <c r="AI18" s="661"/>
      <c r="AJ18" s="661"/>
      <c r="AK18" s="662"/>
    </row>
    <row r="19" spans="1:37">
      <c r="A19" s="610"/>
      <c r="B19" s="610" t="s">
        <v>182</v>
      </c>
      <c r="C19" s="610"/>
      <c r="D19" s="274" t="s">
        <v>542</v>
      </c>
      <c r="E19" s="49"/>
      <c r="I19" s="49"/>
      <c r="J19" s="62" t="s">
        <v>413</v>
      </c>
      <c r="K19" s="108"/>
      <c r="L19" s="108"/>
      <c r="M19" s="108"/>
      <c r="N19" s="108"/>
      <c r="O19" s="282"/>
      <c r="Q19" s="655"/>
      <c r="R19" s="309"/>
      <c r="S19" s="53" t="s">
        <v>77</v>
      </c>
      <c r="T19" s="530"/>
      <c r="U19" s="533"/>
      <c r="V19" s="530"/>
      <c r="W19" s="533"/>
      <c r="X19" s="123">
        <v>2</v>
      </c>
      <c r="Y19" s="442"/>
      <c r="Z19" s="443">
        <f>X19</f>
        <v>2</v>
      </c>
      <c r="AA19" s="507"/>
      <c r="AC19" s="600"/>
      <c r="AD19" s="660"/>
      <c r="AE19" s="661"/>
      <c r="AF19" s="661"/>
      <c r="AG19" s="661"/>
      <c r="AH19" s="661"/>
      <c r="AI19" s="661"/>
      <c r="AJ19" s="661"/>
      <c r="AK19" s="662"/>
    </row>
    <row r="20" spans="1:37" ht="16" thickBot="1">
      <c r="A20" s="610"/>
      <c r="B20" s="610" t="s">
        <v>185</v>
      </c>
      <c r="C20" s="610"/>
      <c r="D20" s="395" t="s">
        <v>450</v>
      </c>
      <c r="I20" s="49"/>
      <c r="J20" s="64" t="s">
        <v>221</v>
      </c>
      <c r="K20" s="465">
        <f>SUM(K12:K19)</f>
        <v>14</v>
      </c>
      <c r="L20" s="465">
        <f>SUM(L12:L19)</f>
        <v>4</v>
      </c>
      <c r="M20" s="465">
        <f>SUM(M12:M19)</f>
        <v>5</v>
      </c>
      <c r="N20" s="465">
        <f>SUM(N12:N19)</f>
        <v>0</v>
      </c>
      <c r="O20" s="465">
        <f>SUM(O12:O19)</f>
        <v>5</v>
      </c>
      <c r="Q20" s="656"/>
      <c r="R20" s="306" t="s">
        <v>80</v>
      </c>
      <c r="S20" s="229"/>
      <c r="T20" s="524"/>
      <c r="U20" s="534"/>
      <c r="V20" s="524"/>
      <c r="W20" s="534"/>
      <c r="X20" s="235">
        <v>10</v>
      </c>
      <c r="Y20" s="444"/>
      <c r="Z20" s="445">
        <f>X20</f>
        <v>10</v>
      </c>
      <c r="AA20" s="508"/>
      <c r="AC20" s="601"/>
      <c r="AD20" s="663"/>
      <c r="AE20" s="664"/>
      <c r="AF20" s="664"/>
      <c r="AG20" s="664"/>
      <c r="AH20" s="664"/>
      <c r="AI20" s="664"/>
      <c r="AJ20" s="664"/>
      <c r="AK20" s="665"/>
    </row>
    <row r="21" spans="1:37" ht="16" thickBot="1">
      <c r="A21" s="610"/>
      <c r="B21" s="610" t="s">
        <v>260</v>
      </c>
      <c r="C21" s="610"/>
      <c r="D21" s="114" t="s">
        <v>528</v>
      </c>
      <c r="F21" s="96" t="s">
        <v>327</v>
      </c>
      <c r="G21" s="49"/>
      <c r="H21" s="49"/>
      <c r="I21" s="49"/>
      <c r="J21" s="64" t="s">
        <v>222</v>
      </c>
      <c r="K21" s="631">
        <f>SUM(L20:N20)/K20</f>
        <v>0.6428571428571429</v>
      </c>
      <c r="L21" s="632"/>
      <c r="M21" s="632"/>
      <c r="N21" s="633"/>
      <c r="O21" s="466">
        <f>O20/COUNTA(K12:K19)</f>
        <v>1</v>
      </c>
      <c r="Q21" s="313"/>
      <c r="T21" s="520"/>
      <c r="U21" s="521"/>
      <c r="V21" s="520"/>
      <c r="W21" s="521"/>
      <c r="AA21" s="509"/>
      <c r="AC21" s="122"/>
      <c r="AD21" s="316"/>
      <c r="AE21" s="316"/>
      <c r="AF21" s="316"/>
      <c r="AG21" s="316"/>
      <c r="AH21" s="316"/>
      <c r="AI21" s="316"/>
      <c r="AJ21" s="316"/>
      <c r="AK21" s="316"/>
    </row>
    <row r="22" spans="1:37" ht="16" thickBot="1">
      <c r="A22" s="610"/>
      <c r="B22" s="649" t="s">
        <v>329</v>
      </c>
      <c r="C22" s="649"/>
      <c r="D22" s="477" t="str">
        <f>VLOOKUP(D21,표2[],2,0)</f>
        <v>O</v>
      </c>
      <c r="E22" s="49"/>
      <c r="F22" s="89" t="s">
        <v>325</v>
      </c>
      <c r="G22" s="90" t="s">
        <v>180</v>
      </c>
      <c r="H22" s="91" t="s">
        <v>181</v>
      </c>
      <c r="I22" s="49"/>
      <c r="J22" s="49"/>
      <c r="K22" s="49"/>
      <c r="L22" s="49"/>
      <c r="M22" s="49"/>
      <c r="N22" s="49"/>
      <c r="O22" s="85"/>
      <c r="Q22" s="314" t="s">
        <v>97</v>
      </c>
      <c r="R22" s="310" t="s">
        <v>190</v>
      </c>
      <c r="S22" s="237"/>
      <c r="T22" s="535"/>
      <c r="U22" s="523">
        <f>T22</f>
        <v>0</v>
      </c>
      <c r="V22" s="535"/>
      <c r="W22" s="523">
        <f>V22</f>
        <v>0</v>
      </c>
      <c r="X22" s="238"/>
      <c r="Y22" s="245">
        <v>8</v>
      </c>
      <c r="Z22" s="239"/>
      <c r="AA22" s="510">
        <f>IF($Y$22&gt;4,5,$Y$22)</f>
        <v>5</v>
      </c>
      <c r="AB22" s="51"/>
      <c r="AC22" s="295" t="s">
        <v>97</v>
      </c>
      <c r="AD22" s="606" t="s">
        <v>550</v>
      </c>
      <c r="AE22" s="606"/>
      <c r="AF22" s="606"/>
      <c r="AG22" s="606"/>
      <c r="AH22" s="606"/>
      <c r="AI22" s="606"/>
      <c r="AJ22" s="606"/>
      <c r="AK22" s="606"/>
    </row>
    <row r="23" spans="1:37" ht="17" thickBot="1">
      <c r="A23" s="292" t="s">
        <v>399</v>
      </c>
      <c r="B23" s="292" t="s">
        <v>395</v>
      </c>
      <c r="C23" s="292" t="s">
        <v>404</v>
      </c>
      <c r="D23" s="292" t="s">
        <v>396</v>
      </c>
      <c r="E23" s="49"/>
      <c r="F23" s="107">
        <v>40</v>
      </c>
      <c r="G23" s="108"/>
      <c r="H23" s="470">
        <f>F23*4.34*G23</f>
        <v>0</v>
      </c>
      <c r="I23" s="86"/>
      <c r="J23" s="61" t="s">
        <v>88</v>
      </c>
      <c r="N23" s="86"/>
      <c r="O23" s="86"/>
      <c r="Q23" s="314" t="s">
        <v>120</v>
      </c>
      <c r="R23" s="311" t="s">
        <v>191</v>
      </c>
      <c r="S23" s="241"/>
      <c r="T23" s="536"/>
      <c r="U23" s="537">
        <f>T23</f>
        <v>0</v>
      </c>
      <c r="V23" s="536"/>
      <c r="W23" s="537">
        <f>V23</f>
        <v>0</v>
      </c>
      <c r="X23" s="242"/>
      <c r="Y23" s="243">
        <v>11</v>
      </c>
      <c r="Z23" s="236"/>
      <c r="AA23" s="504">
        <f>IF(Y23&gt;6,5,IF(Y23&gt;4,4,IF(Y23&gt;2,3,IF(Y23=2,2,IF(Y23=1,1,0)))))</f>
        <v>5</v>
      </c>
      <c r="AB23" s="51"/>
      <c r="AC23" s="295" t="s">
        <v>120</v>
      </c>
      <c r="AD23" s="606" t="s">
        <v>551</v>
      </c>
      <c r="AE23" s="606"/>
      <c r="AF23" s="606"/>
      <c r="AG23" s="606"/>
      <c r="AH23" s="606"/>
      <c r="AI23" s="606"/>
      <c r="AJ23" s="606"/>
      <c r="AK23" s="606"/>
    </row>
    <row r="24" spans="1:37" ht="17" thickBot="1">
      <c r="A24" s="292" t="s">
        <v>397</v>
      </c>
      <c r="B24" s="293">
        <v>45779</v>
      </c>
      <c r="C24" s="321" t="s">
        <v>544</v>
      </c>
      <c r="D24" s="315" t="str">
        <f>D14</f>
        <v>안호영</v>
      </c>
      <c r="E24" s="49"/>
      <c r="F24" s="107">
        <v>25</v>
      </c>
      <c r="G24" s="108"/>
      <c r="H24" s="470">
        <f t="shared" ref="H24:H29" si="0">F24*4.34*G24</f>
        <v>0</v>
      </c>
      <c r="I24" s="49"/>
      <c r="J24" s="634" t="s">
        <v>88</v>
      </c>
      <c r="K24" s="634" t="s">
        <v>335</v>
      </c>
      <c r="L24" s="634" t="s">
        <v>333</v>
      </c>
      <c r="M24" s="634" t="s">
        <v>334</v>
      </c>
      <c r="N24" s="635" t="s">
        <v>336</v>
      </c>
      <c r="O24" s="636"/>
      <c r="Q24" s="313"/>
      <c r="S24" s="59"/>
      <c r="T24" s="538"/>
      <c r="U24" s="539"/>
      <c r="V24" s="538"/>
      <c r="W24" s="539"/>
      <c r="Z24" s="60"/>
      <c r="AA24" s="509"/>
      <c r="AB24" s="51"/>
      <c r="AC24" s="122"/>
      <c r="AD24" s="316"/>
      <c r="AE24" s="316"/>
      <c r="AF24" s="316"/>
      <c r="AG24" s="316"/>
      <c r="AH24" s="316"/>
      <c r="AI24" s="316"/>
      <c r="AJ24" s="316"/>
      <c r="AK24" s="316"/>
    </row>
    <row r="25" spans="1:37" ht="16">
      <c r="A25" s="292" t="s">
        <v>547</v>
      </c>
      <c r="B25" s="293"/>
      <c r="C25" s="321"/>
      <c r="D25" s="315" t="str">
        <f>D14</f>
        <v>안호영</v>
      </c>
      <c r="E25" s="49"/>
      <c r="F25" s="107">
        <v>35</v>
      </c>
      <c r="G25" s="108"/>
      <c r="H25" s="470">
        <f t="shared" si="0"/>
        <v>0</v>
      </c>
      <c r="I25" s="49"/>
      <c r="J25" s="634"/>
      <c r="K25" s="634"/>
      <c r="L25" s="634"/>
      <c r="M25" s="634"/>
      <c r="N25" s="637"/>
      <c r="O25" s="638"/>
      <c r="Q25" s="604" t="s">
        <v>55</v>
      </c>
      <c r="R25" s="667" t="s">
        <v>63</v>
      </c>
      <c r="S25" s="240" t="s">
        <v>192</v>
      </c>
      <c r="T25" s="522"/>
      <c r="U25" s="540">
        <f>SUM(T25:T29)</f>
        <v>0</v>
      </c>
      <c r="V25" s="522"/>
      <c r="W25" s="540">
        <f>SUM(V25:V29)</f>
        <v>0</v>
      </c>
      <c r="X25" s="446">
        <f>IF($D$68&gt;=1,1,0)</f>
        <v>1</v>
      </c>
      <c r="Y25" s="447" t="s">
        <v>168</v>
      </c>
      <c r="Z25" s="448">
        <f>X25</f>
        <v>1</v>
      </c>
      <c r="AA25" s="511">
        <f>SUM(Z25:Z29)</f>
        <v>10</v>
      </c>
      <c r="AB25" s="51"/>
      <c r="AC25" s="598" t="s">
        <v>55</v>
      </c>
      <c r="AD25" s="606" t="s">
        <v>552</v>
      </c>
      <c r="AE25" s="606"/>
      <c r="AF25" s="606"/>
      <c r="AG25" s="606"/>
      <c r="AH25" s="606"/>
      <c r="AI25" s="606"/>
      <c r="AJ25" s="606"/>
      <c r="AK25" s="606"/>
    </row>
    <row r="26" spans="1:37" ht="16">
      <c r="A26" s="292" t="s">
        <v>529</v>
      </c>
      <c r="B26" s="293"/>
      <c r="C26" s="321"/>
      <c r="D26" s="315" t="str">
        <f>D14</f>
        <v>안호영</v>
      </c>
      <c r="E26" s="49"/>
      <c r="F26" s="109"/>
      <c r="G26" s="110"/>
      <c r="H26" s="470">
        <f t="shared" si="0"/>
        <v>0</v>
      </c>
      <c r="I26" s="49"/>
      <c r="J26" s="113" t="s">
        <v>224</v>
      </c>
      <c r="K26" s="114">
        <v>1</v>
      </c>
      <c r="L26" s="114"/>
      <c r="M26" s="467">
        <f t="shared" ref="M26:M40" si="1">(K26*L26)/$D$51</f>
        <v>0</v>
      </c>
      <c r="N26" s="283"/>
      <c r="O26" s="284"/>
      <c r="Q26" s="604"/>
      <c r="R26" s="668"/>
      <c r="S26" s="210" t="s">
        <v>193</v>
      </c>
      <c r="T26" s="530"/>
      <c r="U26" s="541"/>
      <c r="V26" s="530"/>
      <c r="W26" s="541"/>
      <c r="X26" s="449">
        <f>IF($D$69&gt;=1,1,0)</f>
        <v>1</v>
      </c>
      <c r="Y26" s="450"/>
      <c r="Z26" s="451">
        <f t="shared" ref="Z26:Z29" si="2">X26</f>
        <v>1</v>
      </c>
      <c r="AA26" s="512"/>
      <c r="AB26" s="51"/>
      <c r="AC26" s="598"/>
      <c r="AD26" s="606"/>
      <c r="AE26" s="606"/>
      <c r="AF26" s="606"/>
      <c r="AG26" s="606"/>
      <c r="AH26" s="606"/>
      <c r="AI26" s="606"/>
      <c r="AJ26" s="606"/>
      <c r="AK26" s="606"/>
    </row>
    <row r="27" spans="1:37" ht="14.25" customHeight="1">
      <c r="A27" s="63"/>
      <c r="B27" s="63"/>
      <c r="C27" s="63" t="str">
        <f>C24</f>
        <v>유선</v>
      </c>
      <c r="E27" s="49"/>
      <c r="F27" s="109"/>
      <c r="G27" s="110"/>
      <c r="H27" s="470">
        <f t="shared" si="0"/>
        <v>0</v>
      </c>
      <c r="I27" s="87"/>
      <c r="J27" s="113" t="s">
        <v>225</v>
      </c>
      <c r="K27" s="114"/>
      <c r="L27" s="114"/>
      <c r="M27" s="467">
        <f t="shared" si="1"/>
        <v>0</v>
      </c>
      <c r="N27" s="116"/>
      <c r="O27" s="117"/>
      <c r="Q27" s="604"/>
      <c r="R27" s="669"/>
      <c r="S27" s="210" t="s">
        <v>194</v>
      </c>
      <c r="T27" s="530"/>
      <c r="U27" s="541"/>
      <c r="V27" s="530"/>
      <c r="W27" s="541"/>
      <c r="X27" s="449">
        <f>IF($D$70&gt;=1,1,0)</f>
        <v>1</v>
      </c>
      <c r="Y27" s="450" t="s">
        <v>168</v>
      </c>
      <c r="Z27" s="451">
        <f t="shared" si="2"/>
        <v>1</v>
      </c>
      <c r="AA27" s="512"/>
      <c r="AC27" s="598"/>
      <c r="AD27" s="606"/>
      <c r="AE27" s="606"/>
      <c r="AF27" s="606"/>
      <c r="AG27" s="606"/>
      <c r="AH27" s="606"/>
      <c r="AI27" s="606"/>
      <c r="AJ27" s="606"/>
      <c r="AK27" s="606"/>
    </row>
    <row r="28" spans="1:37" ht="14.25" customHeight="1" thickBot="1">
      <c r="A28" s="63"/>
      <c r="C28" s="63"/>
      <c r="E28" s="49"/>
      <c r="F28" s="109"/>
      <c r="G28" s="110"/>
      <c r="H28" s="470">
        <f t="shared" si="0"/>
        <v>0</v>
      </c>
      <c r="I28" s="87"/>
      <c r="J28" s="113" t="s">
        <v>227</v>
      </c>
      <c r="K28" s="114"/>
      <c r="L28" s="114"/>
      <c r="M28" s="467">
        <f t="shared" si="1"/>
        <v>0</v>
      </c>
      <c r="N28" s="116"/>
      <c r="O28" s="117"/>
      <c r="Q28" s="604"/>
      <c r="R28" s="305" t="s">
        <v>80</v>
      </c>
      <c r="S28" s="53" t="s">
        <v>195</v>
      </c>
      <c r="T28" s="530"/>
      <c r="U28" s="541"/>
      <c r="V28" s="530"/>
      <c r="W28" s="541"/>
      <c r="X28" s="442"/>
      <c r="Y28" s="440">
        <f>SUM($D$71:$D$72)</f>
        <v>42818140</v>
      </c>
      <c r="Z28" s="451">
        <f>IF($Y$28&gt;VLOOKUP(D58,코드!$E$4:$H$43,4,0),5,IF($Y$28&gt;VLOOKUP(D58,코드!$E$4:$H$43,4,0)*0.75,4,IF($Y$28&gt;VLOOKUP(D58,코드!$E$4:$H$43,4,0)*0.5,3,IF($Y$28&gt;VLOOKUP(D58,코드!$E$4:$H$43,4,0)*0.25,2,IF($Y$28=0,0,1)))))</f>
        <v>5</v>
      </c>
      <c r="AA28" s="512"/>
      <c r="AC28" s="598"/>
      <c r="AD28" s="606"/>
      <c r="AE28" s="606"/>
      <c r="AF28" s="606"/>
      <c r="AG28" s="606"/>
      <c r="AH28" s="606"/>
      <c r="AI28" s="606"/>
      <c r="AJ28" s="606"/>
      <c r="AK28" s="606"/>
    </row>
    <row r="29" spans="1:37" ht="13.5" customHeight="1" thickBot="1">
      <c r="A29" s="862" t="s">
        <v>326</v>
      </c>
      <c r="B29" s="55" t="s">
        <v>325</v>
      </c>
      <c r="C29" s="56" t="s">
        <v>180</v>
      </c>
      <c r="D29" s="57" t="s">
        <v>181</v>
      </c>
      <c r="E29" s="49"/>
      <c r="F29" s="109"/>
      <c r="G29" s="110"/>
      <c r="H29" s="470">
        <f t="shared" si="0"/>
        <v>0</v>
      </c>
      <c r="I29" s="88"/>
      <c r="J29" s="113" t="s">
        <v>229</v>
      </c>
      <c r="K29" s="114"/>
      <c r="L29" s="114"/>
      <c r="M29" s="467">
        <f t="shared" si="1"/>
        <v>0</v>
      </c>
      <c r="N29" s="118"/>
      <c r="O29" s="119"/>
      <c r="Q29" s="604"/>
      <c r="R29" s="306" t="s">
        <v>84</v>
      </c>
      <c r="S29" s="229" t="s">
        <v>196</v>
      </c>
      <c r="T29" s="524"/>
      <c r="U29" s="542"/>
      <c r="V29" s="524"/>
      <c r="W29" s="542"/>
      <c r="X29" s="235">
        <v>2</v>
      </c>
      <c r="Y29" s="444"/>
      <c r="Z29" s="452">
        <f t="shared" si="2"/>
        <v>2</v>
      </c>
      <c r="AA29" s="513"/>
      <c r="AC29" s="598"/>
      <c r="AD29" s="606"/>
      <c r="AE29" s="606"/>
      <c r="AF29" s="606"/>
      <c r="AG29" s="606"/>
      <c r="AH29" s="606"/>
      <c r="AI29" s="606"/>
      <c r="AJ29" s="606"/>
      <c r="AK29" s="606"/>
    </row>
    <row r="30" spans="1:37" ht="16" thickBot="1">
      <c r="A30" s="862"/>
      <c r="B30" s="107">
        <v>20</v>
      </c>
      <c r="C30" s="108"/>
      <c r="D30" s="470">
        <f>B30*4.34*C30</f>
        <v>0</v>
      </c>
      <c r="E30" s="49"/>
      <c r="F30" s="107"/>
      <c r="G30" s="108"/>
      <c r="H30" s="470">
        <f t="shared" ref="H30:H35" si="3">F30*4.34*G30</f>
        <v>0</v>
      </c>
      <c r="I30" s="88"/>
      <c r="J30" s="113" t="s">
        <v>230</v>
      </c>
      <c r="K30" s="114"/>
      <c r="L30" s="114"/>
      <c r="M30" s="467">
        <f t="shared" si="1"/>
        <v>0</v>
      </c>
      <c r="N30" s="285"/>
      <c r="O30" s="286"/>
      <c r="Q30" s="313"/>
      <c r="T30" s="520"/>
      <c r="U30" s="521"/>
      <c r="V30" s="520"/>
      <c r="W30" s="521"/>
      <c r="AA30" s="509"/>
      <c r="AC30" s="122"/>
      <c r="AD30" s="316"/>
      <c r="AE30" s="316"/>
      <c r="AF30" s="316"/>
      <c r="AG30" s="316"/>
      <c r="AH30" s="316"/>
      <c r="AI30" s="316"/>
      <c r="AJ30" s="316"/>
      <c r="AK30" s="316"/>
    </row>
    <row r="31" spans="1:37">
      <c r="A31" s="862"/>
      <c r="B31" s="107">
        <v>30</v>
      </c>
      <c r="C31" s="108"/>
      <c r="D31" s="470">
        <f t="shared" ref="D31:D36" si="4">B31*4.34*C31</f>
        <v>0</v>
      </c>
      <c r="E31" s="49"/>
      <c r="F31" s="109"/>
      <c r="G31" s="110"/>
      <c r="H31" s="470">
        <f t="shared" si="3"/>
        <v>0</v>
      </c>
      <c r="I31" s="88"/>
      <c r="J31" s="113" t="s">
        <v>231</v>
      </c>
      <c r="K31" s="114"/>
      <c r="L31" s="114"/>
      <c r="M31" s="467">
        <f t="shared" si="1"/>
        <v>0</v>
      </c>
      <c r="N31" s="285"/>
      <c r="O31" s="286"/>
      <c r="Q31" s="604" t="s">
        <v>107</v>
      </c>
      <c r="R31" s="304" t="s">
        <v>204</v>
      </c>
      <c r="S31" s="227"/>
      <c r="T31" s="522"/>
      <c r="U31" s="543">
        <f>SUM(T31:T32)</f>
        <v>0</v>
      </c>
      <c r="V31" s="522"/>
      <c r="W31" s="543">
        <f>SUM(V31:V32)</f>
        <v>0</v>
      </c>
      <c r="X31" s="233"/>
      <c r="Y31" s="438">
        <f>IF(COUNTA(K12:K19)&lt;2,"개최2회미만",K21)</f>
        <v>0.6428571428571429</v>
      </c>
      <c r="Z31" s="454">
        <f>IF($Y$31="개최2회미만",0,IF($Y$31&gt;=0.6,3,IF($Y$31&gt;=0.4,2,1)))</f>
        <v>3</v>
      </c>
      <c r="AA31" s="514">
        <f>IF(Y31="개최2회미만",0,SUM(Z31:Z32))</f>
        <v>5</v>
      </c>
      <c r="AC31" s="681" t="s">
        <v>107</v>
      </c>
      <c r="AD31" s="657" t="s">
        <v>553</v>
      </c>
      <c r="AE31" s="658"/>
      <c r="AF31" s="658"/>
      <c r="AG31" s="658"/>
      <c r="AH31" s="658"/>
      <c r="AI31" s="658"/>
      <c r="AJ31" s="658"/>
      <c r="AK31" s="659"/>
    </row>
    <row r="32" spans="1:37" ht="16" thickBot="1">
      <c r="A32" s="862"/>
      <c r="B32" s="107">
        <v>40</v>
      </c>
      <c r="C32" s="108"/>
      <c r="D32" s="470">
        <f t="shared" si="4"/>
        <v>0</v>
      </c>
      <c r="E32" s="49"/>
      <c r="F32" s="109"/>
      <c r="G32" s="110"/>
      <c r="H32" s="470">
        <f t="shared" si="3"/>
        <v>0</v>
      </c>
      <c r="I32" s="86"/>
      <c r="J32" s="113" t="s">
        <v>232</v>
      </c>
      <c r="K32" s="114"/>
      <c r="L32" s="114"/>
      <c r="M32" s="467">
        <f t="shared" si="1"/>
        <v>0</v>
      </c>
      <c r="N32" s="285"/>
      <c r="O32" s="286"/>
      <c r="Q32" s="604"/>
      <c r="R32" s="306" t="s">
        <v>207</v>
      </c>
      <c r="S32" s="229"/>
      <c r="T32" s="524"/>
      <c r="U32" s="544"/>
      <c r="V32" s="524"/>
      <c r="W32" s="544"/>
      <c r="X32" s="231"/>
      <c r="Y32" s="453">
        <f>O21</f>
        <v>1</v>
      </c>
      <c r="Z32" s="455">
        <f>IF($Y$32&gt;=0.5,2,1)</f>
        <v>2</v>
      </c>
      <c r="AA32" s="515"/>
      <c r="AC32" s="682"/>
      <c r="AD32" s="663"/>
      <c r="AE32" s="664"/>
      <c r="AF32" s="664"/>
      <c r="AG32" s="664"/>
      <c r="AH32" s="664"/>
      <c r="AI32" s="664"/>
      <c r="AJ32" s="664"/>
      <c r="AK32" s="665"/>
    </row>
    <row r="33" spans="1:37" ht="16" thickBot="1">
      <c r="A33" s="862"/>
      <c r="B33" s="109"/>
      <c r="C33" s="110"/>
      <c r="D33" s="470">
        <f t="shared" si="4"/>
        <v>0</v>
      </c>
      <c r="E33" s="49"/>
      <c r="F33" s="109"/>
      <c r="G33" s="110"/>
      <c r="H33" s="470">
        <f t="shared" si="3"/>
        <v>0</v>
      </c>
      <c r="I33" s="88"/>
      <c r="J33" s="113" t="s">
        <v>233</v>
      </c>
      <c r="K33" s="114"/>
      <c r="L33" s="114"/>
      <c r="M33" s="467">
        <f t="shared" si="1"/>
        <v>0</v>
      </c>
      <c r="N33" s="285"/>
      <c r="O33" s="286"/>
      <c r="Q33" s="313"/>
      <c r="S33" s="45"/>
      <c r="T33" s="526"/>
      <c r="U33" s="527"/>
      <c r="V33" s="526"/>
      <c r="W33" s="527"/>
      <c r="X33" s="45"/>
      <c r="Z33" s="61"/>
      <c r="AA33" s="509"/>
      <c r="AC33" s="122"/>
      <c r="AD33" s="316"/>
      <c r="AE33" s="316"/>
      <c r="AF33" s="316"/>
      <c r="AG33" s="316"/>
      <c r="AH33" s="316"/>
      <c r="AI33" s="316"/>
      <c r="AJ33" s="316"/>
      <c r="AK33" s="316"/>
    </row>
    <row r="34" spans="1:37" ht="16" thickBot="1">
      <c r="A34" s="862"/>
      <c r="B34" s="109"/>
      <c r="C34" s="110"/>
      <c r="D34" s="470">
        <f t="shared" si="4"/>
        <v>0</v>
      </c>
      <c r="E34" s="49"/>
      <c r="F34" s="109"/>
      <c r="G34" s="110"/>
      <c r="H34" s="470">
        <f t="shared" si="3"/>
        <v>0</v>
      </c>
      <c r="I34" s="87"/>
      <c r="J34" s="113" t="s">
        <v>234</v>
      </c>
      <c r="K34" s="114"/>
      <c r="L34" s="114"/>
      <c r="M34" s="467">
        <f t="shared" si="1"/>
        <v>0</v>
      </c>
      <c r="N34" s="285"/>
      <c r="O34" s="286"/>
      <c r="Q34" s="314" t="s">
        <v>57</v>
      </c>
      <c r="R34" s="310" t="s">
        <v>155</v>
      </c>
      <c r="S34" s="237"/>
      <c r="T34" s="545"/>
      <c r="U34" s="537">
        <f>T34</f>
        <v>0</v>
      </c>
      <c r="V34" s="545"/>
      <c r="W34" s="537">
        <f>V34</f>
        <v>0</v>
      </c>
      <c r="X34" s="238"/>
      <c r="Y34" s="456">
        <f>D66</f>
        <v>17535.940783986654</v>
      </c>
      <c r="Z34" s="239"/>
      <c r="AA34" s="516">
        <f>IF($Y$34&gt;=$AD$96,8,IF($Y$34&gt;=$AD$95,6.4,IF($Y$34&gt;=$AD$94,4.8,IF($Y$34&gt;=$AD$93,3.2,1.6))))</f>
        <v>8</v>
      </c>
      <c r="AC34" s="297" t="s">
        <v>57</v>
      </c>
      <c r="AD34" s="678" t="s">
        <v>554</v>
      </c>
      <c r="AE34" s="679"/>
      <c r="AF34" s="679"/>
      <c r="AG34" s="679"/>
      <c r="AH34" s="679"/>
      <c r="AI34" s="679"/>
      <c r="AJ34" s="679"/>
      <c r="AK34" s="680"/>
    </row>
    <row r="35" spans="1:37" ht="16" thickBot="1">
      <c r="A35" s="862"/>
      <c r="B35" s="109"/>
      <c r="C35" s="110"/>
      <c r="D35" s="470">
        <f t="shared" si="4"/>
        <v>0</v>
      </c>
      <c r="E35" s="49"/>
      <c r="F35" s="107"/>
      <c r="G35" s="108"/>
      <c r="H35" s="470">
        <f t="shared" si="3"/>
        <v>0</v>
      </c>
      <c r="I35" s="88"/>
      <c r="J35" s="113" t="s">
        <v>235</v>
      </c>
      <c r="K35" s="114"/>
      <c r="L35" s="114"/>
      <c r="M35" s="467">
        <f t="shared" si="1"/>
        <v>0</v>
      </c>
      <c r="N35" s="285"/>
      <c r="O35" s="286"/>
      <c r="Q35" s="313"/>
      <c r="T35" s="520"/>
      <c r="U35" s="521"/>
      <c r="V35" s="520"/>
      <c r="W35" s="521"/>
      <c r="AA35" s="509"/>
      <c r="AC35" s="122"/>
      <c r="AD35" s="316"/>
      <c r="AE35" s="316"/>
      <c r="AF35" s="316"/>
      <c r="AG35" s="316"/>
      <c r="AH35" s="316"/>
      <c r="AI35" s="316"/>
      <c r="AJ35" s="316"/>
      <c r="AK35" s="316"/>
    </row>
    <row r="36" spans="1:37" ht="13.5" customHeight="1" thickBot="1">
      <c r="A36" s="862"/>
      <c r="B36" s="109"/>
      <c r="C36" s="110"/>
      <c r="D36" s="470">
        <f t="shared" si="4"/>
        <v>0</v>
      </c>
      <c r="E36" s="49"/>
      <c r="F36" s="92" t="s">
        <v>189</v>
      </c>
      <c r="G36" s="474">
        <v>25</v>
      </c>
      <c r="H36" s="473">
        <v>3477</v>
      </c>
      <c r="I36" s="88"/>
      <c r="J36" s="113" t="s">
        <v>236</v>
      </c>
      <c r="K36" s="114"/>
      <c r="L36" s="114"/>
      <c r="M36" s="467">
        <f t="shared" si="1"/>
        <v>0</v>
      </c>
      <c r="N36" s="285"/>
      <c r="O36" s="286"/>
      <c r="Q36" s="604" t="s">
        <v>88</v>
      </c>
      <c r="R36" s="304" t="s">
        <v>218</v>
      </c>
      <c r="S36" s="227"/>
      <c r="T36" s="522"/>
      <c r="U36" s="543">
        <f>SUM(T36:T37)</f>
        <v>0</v>
      </c>
      <c r="V36" s="522"/>
      <c r="W36" s="543">
        <f>SUM(V36:V37)</f>
        <v>0</v>
      </c>
      <c r="X36" s="228"/>
      <c r="Y36" s="457">
        <f>IF(COUNTA(K26:K40)&lt;1,0,M41)</f>
        <v>39.299999999999997</v>
      </c>
      <c r="Z36" s="458">
        <f>IF($Y$36=0,0,IF($Y$36&gt;=15,4,IF($Y$36&gt;=10,3,IF($Y$36&gt;=5,2,1))))</f>
        <v>4</v>
      </c>
      <c r="AA36" s="514">
        <f>SUM(Z36:Z37)</f>
        <v>5</v>
      </c>
      <c r="AC36" s="296" t="s">
        <v>88</v>
      </c>
      <c r="AD36" s="678" t="s">
        <v>555</v>
      </c>
      <c r="AE36" s="679"/>
      <c r="AF36" s="679"/>
      <c r="AG36" s="679"/>
      <c r="AH36" s="679"/>
      <c r="AI36" s="679"/>
      <c r="AJ36" s="679"/>
      <c r="AK36" s="680"/>
    </row>
    <row r="37" spans="1:37" ht="16" thickBot="1">
      <c r="A37" s="862"/>
      <c r="B37" s="109"/>
      <c r="C37" s="110"/>
      <c r="D37" s="470">
        <f t="shared" ref="D37:D40" si="5">B37*4.34*C37</f>
        <v>0</v>
      </c>
      <c r="E37" s="49"/>
      <c r="F37" s="607" t="str">
        <f>IF(G36=D50,"","2023년 근로자수 확인바람")</f>
        <v/>
      </c>
      <c r="G37" s="608"/>
      <c r="H37" s="609"/>
      <c r="I37" s="87"/>
      <c r="J37" s="113" t="s">
        <v>237</v>
      </c>
      <c r="K37" s="114"/>
      <c r="L37" s="114"/>
      <c r="M37" s="467">
        <f t="shared" si="1"/>
        <v>0</v>
      </c>
      <c r="N37" s="285"/>
      <c r="O37" s="286"/>
      <c r="Q37" s="604"/>
      <c r="R37" s="306" t="s">
        <v>351</v>
      </c>
      <c r="S37" s="229"/>
      <c r="T37" s="524"/>
      <c r="U37" s="544"/>
      <c r="V37" s="524"/>
      <c r="W37" s="544"/>
      <c r="X37" s="230"/>
      <c r="Y37" s="459">
        <f>M43</f>
        <v>1558000</v>
      </c>
      <c r="Z37" s="452">
        <f>IF(Y37&gt;0,1,0)</f>
        <v>1</v>
      </c>
      <c r="AA37" s="515"/>
      <c r="AD37" s="317"/>
      <c r="AE37" s="86"/>
      <c r="AF37" s="317"/>
      <c r="AG37" s="317"/>
      <c r="AH37" s="317"/>
      <c r="AI37" s="317"/>
      <c r="AJ37" s="317"/>
      <c r="AK37" s="317"/>
    </row>
    <row r="38" spans="1:37" ht="14.25" customHeight="1" thickBot="1">
      <c r="A38" s="862"/>
      <c r="B38" s="109"/>
      <c r="C38" s="110"/>
      <c r="D38" s="470">
        <f t="shared" si="5"/>
        <v>0</v>
      </c>
      <c r="E38" s="49"/>
      <c r="I38" s="88"/>
      <c r="J38" s="113" t="s">
        <v>238</v>
      </c>
      <c r="K38" s="114"/>
      <c r="L38" s="114"/>
      <c r="M38" s="467">
        <f t="shared" si="1"/>
        <v>0</v>
      </c>
      <c r="N38" s="285"/>
      <c r="O38" s="286"/>
      <c r="Q38" s="313"/>
      <c r="T38" s="520"/>
      <c r="U38" s="521"/>
      <c r="V38" s="520"/>
      <c r="W38" s="521"/>
      <c r="AA38" s="509"/>
      <c r="AD38" s="317" t="s">
        <v>451</v>
      </c>
      <c r="AE38" s="86"/>
      <c r="AF38" s="317"/>
      <c r="AG38" s="317"/>
      <c r="AH38" s="317"/>
      <c r="AI38" s="317"/>
      <c r="AJ38" s="317"/>
      <c r="AK38" s="317"/>
    </row>
    <row r="39" spans="1:37" ht="16" thickBot="1">
      <c r="A39" s="862"/>
      <c r="B39" s="109"/>
      <c r="C39" s="110"/>
      <c r="D39" s="470">
        <f t="shared" si="5"/>
        <v>0</v>
      </c>
      <c r="E39" s="49"/>
      <c r="F39" s="96" t="s">
        <v>328</v>
      </c>
      <c r="G39" s="49"/>
      <c r="H39" s="49"/>
      <c r="I39" s="86"/>
      <c r="J39" s="113" t="s">
        <v>239</v>
      </c>
      <c r="K39" s="114"/>
      <c r="L39" s="114"/>
      <c r="M39" s="467">
        <f t="shared" si="1"/>
        <v>0</v>
      </c>
      <c r="N39" s="285"/>
      <c r="O39" s="286"/>
      <c r="Q39" s="604" t="s">
        <v>101</v>
      </c>
      <c r="R39" s="304" t="s">
        <v>102</v>
      </c>
      <c r="S39" s="227"/>
      <c r="T39" s="522"/>
      <c r="U39" s="546">
        <f>SUM(T39:T40)</f>
        <v>0</v>
      </c>
      <c r="V39" s="522"/>
      <c r="W39" s="546">
        <f>SUM(V39:V40)</f>
        <v>0</v>
      </c>
      <c r="X39" s="228"/>
      <c r="Y39" s="460">
        <f>D51</f>
        <v>25</v>
      </c>
      <c r="Z39" s="448">
        <f>IF($Y$39&gt;=$AE$96,6,IF($Y$39&gt;=$AE$95,4.8,IF($Y$39&gt;=$AE$94,3.6,IF($Y$39&gt;=$AE$93,2.4,1.2))))</f>
        <v>4.8</v>
      </c>
      <c r="AA39" s="462">
        <f>SUM(Z39:Z40)</f>
        <v>7.3</v>
      </c>
      <c r="AC39" s="676" t="s">
        <v>101</v>
      </c>
      <c r="AD39" s="670"/>
      <c r="AE39" s="671"/>
      <c r="AF39" s="671"/>
      <c r="AG39" s="671"/>
      <c r="AH39" s="671"/>
      <c r="AI39" s="671"/>
      <c r="AJ39" s="671"/>
      <c r="AK39" s="672"/>
    </row>
    <row r="40" spans="1:37" ht="16" thickBot="1">
      <c r="A40" s="862"/>
      <c r="B40" s="109"/>
      <c r="C40" s="110"/>
      <c r="D40" s="470">
        <f t="shared" si="5"/>
        <v>0</v>
      </c>
      <c r="E40" s="49"/>
      <c r="F40" s="93" t="s">
        <v>325</v>
      </c>
      <c r="G40" s="94" t="s">
        <v>180</v>
      </c>
      <c r="H40" s="95" t="s">
        <v>181</v>
      </c>
      <c r="I40" s="88"/>
      <c r="J40" s="113" t="s">
        <v>240</v>
      </c>
      <c r="K40" s="114"/>
      <c r="L40" s="114"/>
      <c r="M40" s="467">
        <f t="shared" si="1"/>
        <v>0</v>
      </c>
      <c r="N40" s="118"/>
      <c r="O40" s="119"/>
      <c r="Q40" s="604"/>
      <c r="R40" s="306" t="s">
        <v>438</v>
      </c>
      <c r="S40" s="229"/>
      <c r="T40" s="524"/>
      <c r="U40" s="547"/>
      <c r="V40" s="524"/>
      <c r="W40" s="547"/>
      <c r="X40" s="230"/>
      <c r="Y40" s="453">
        <f>IF(D50=0,0,(D51-D50)/D50)</f>
        <v>0</v>
      </c>
      <c r="Z40" s="452">
        <f>IF($Y$40&gt;0,4,IF($Y$40=0,2.5,IF($Y$40&lt;0,1)))</f>
        <v>2.5</v>
      </c>
      <c r="AA40" s="517"/>
      <c r="AC40" s="677"/>
      <c r="AD40" s="673"/>
      <c r="AE40" s="674"/>
      <c r="AF40" s="674"/>
      <c r="AG40" s="674"/>
      <c r="AH40" s="674"/>
      <c r="AI40" s="674"/>
      <c r="AJ40" s="674"/>
      <c r="AK40" s="675"/>
    </row>
    <row r="41" spans="1:37" ht="16" thickBot="1">
      <c r="A41" s="862"/>
      <c r="B41" s="58" t="s">
        <v>189</v>
      </c>
      <c r="C41" s="476">
        <v>19</v>
      </c>
      <c r="D41" s="475">
        <v>2755</v>
      </c>
      <c r="E41" s="49"/>
      <c r="F41" s="107">
        <v>40</v>
      </c>
      <c r="G41" s="108"/>
      <c r="H41" s="470">
        <f>F41*4.34*G41</f>
        <v>0</v>
      </c>
      <c r="I41" s="88"/>
      <c r="J41" s="115" t="s">
        <v>221</v>
      </c>
      <c r="K41" s="469">
        <f>SUM(K26:K31)</f>
        <v>1</v>
      </c>
      <c r="L41" s="469">
        <f>SUM(L26:L31)</f>
        <v>0</v>
      </c>
      <c r="M41" s="468">
        <v>39.299999999999997</v>
      </c>
      <c r="N41" s="118"/>
      <c r="O41" s="119"/>
      <c r="Q41" s="604" t="s">
        <v>201</v>
      </c>
      <c r="R41" s="304" t="s">
        <v>118</v>
      </c>
      <c r="S41" s="227"/>
      <c r="T41" s="522"/>
      <c r="U41" s="546">
        <f>SUM(T41:T42)</f>
        <v>0</v>
      </c>
      <c r="V41" s="522"/>
      <c r="W41" s="546">
        <f>SUM(V41:V42)</f>
        <v>0</v>
      </c>
      <c r="X41" s="228"/>
      <c r="Y41" s="461">
        <f>$D$55</f>
        <v>1281043104</v>
      </c>
      <c r="Z41" s="448">
        <f>IF($Y$41&gt;=AF96,6,IF($Y$41&gt;=AF95,4.8,IF($Y$41&gt;=AF94,3.6,IF($Y$41&gt;=AF93,2.4,1.2))))</f>
        <v>4.8</v>
      </c>
      <c r="AA41" s="462">
        <f>SUM(Z41:Z42)</f>
        <v>6.8</v>
      </c>
      <c r="AC41" s="676" t="s">
        <v>201</v>
      </c>
      <c r="AD41" s="670"/>
      <c r="AE41" s="671"/>
      <c r="AF41" s="671"/>
      <c r="AG41" s="671"/>
      <c r="AH41" s="671"/>
      <c r="AI41" s="671"/>
      <c r="AJ41" s="671"/>
      <c r="AK41" s="672"/>
    </row>
    <row r="42" spans="1:37" ht="16" thickBot="1">
      <c r="A42" s="862"/>
      <c r="B42" s="607" t="str">
        <f>IF(C41=D52,"","취약계층 인원 확인바람")</f>
        <v/>
      </c>
      <c r="C42" s="608"/>
      <c r="D42" s="609"/>
      <c r="E42" s="49"/>
      <c r="F42" s="107">
        <v>30</v>
      </c>
      <c r="G42" s="108"/>
      <c r="H42" s="470">
        <f t="shared" ref="H42:H47" si="6">F42*4.34*G42</f>
        <v>0</v>
      </c>
      <c r="Q42" s="604"/>
      <c r="R42" s="306" t="s">
        <v>223</v>
      </c>
      <c r="S42" s="229"/>
      <c r="T42" s="524"/>
      <c r="U42" s="547"/>
      <c r="V42" s="524"/>
      <c r="W42" s="547"/>
      <c r="X42" s="230"/>
      <c r="Y42" s="453">
        <f>IF(D54=0,0,($D$55-$D$54)/$D$54)</f>
        <v>-2.1575739380034788E-2</v>
      </c>
      <c r="Z42" s="452">
        <f>IF($Y$42&gt;AG95,4,IF(Y42&gt;AG94,3,IF($Y$42&gt;=$AG$93,2,1)))</f>
        <v>2</v>
      </c>
      <c r="AA42" s="517"/>
      <c r="AC42" s="677"/>
      <c r="AD42" s="673"/>
      <c r="AE42" s="674"/>
      <c r="AF42" s="674"/>
      <c r="AG42" s="674"/>
      <c r="AH42" s="674"/>
      <c r="AI42" s="674"/>
      <c r="AJ42" s="674"/>
      <c r="AK42" s="675"/>
    </row>
    <row r="43" spans="1:37">
      <c r="A43" s="96"/>
      <c r="B43" s="863"/>
      <c r="C43" s="863"/>
      <c r="D43" s="863"/>
      <c r="E43" s="49"/>
      <c r="F43" s="107">
        <v>25</v>
      </c>
      <c r="G43" s="108"/>
      <c r="H43" s="470">
        <f t="shared" si="6"/>
        <v>0</v>
      </c>
      <c r="J43" s="642" t="s">
        <v>338</v>
      </c>
      <c r="K43" s="643"/>
      <c r="L43" s="644"/>
      <c r="M43" s="639">
        <v>1558000</v>
      </c>
      <c r="N43" s="640"/>
      <c r="O43" s="641"/>
      <c r="Q43" s="604" t="s">
        <v>202</v>
      </c>
      <c r="R43" s="304" t="s">
        <v>128</v>
      </c>
      <c r="S43" s="227"/>
      <c r="T43" s="522"/>
      <c r="U43" s="546">
        <f>SUM(T43:T44)</f>
        <v>0</v>
      </c>
      <c r="V43" s="522"/>
      <c r="W43" s="546">
        <f>SUM(V43:V44)</f>
        <v>0</v>
      </c>
      <c r="X43" s="228"/>
      <c r="Y43" s="461">
        <f>$D$57</f>
        <v>-24510416</v>
      </c>
      <c r="Z43" s="448">
        <f>IF($Y$43&gt;=$AH$94,3,IF($Y$43&gt;=$AH$93,2,1))</f>
        <v>2</v>
      </c>
      <c r="AA43" s="462">
        <f>SUM(Z43:Z44)</f>
        <v>3.5</v>
      </c>
      <c r="AC43" s="676" t="s">
        <v>202</v>
      </c>
      <c r="AD43" s="670"/>
      <c r="AE43" s="671"/>
      <c r="AF43" s="671"/>
      <c r="AG43" s="671"/>
      <c r="AH43" s="671"/>
      <c r="AI43" s="671"/>
      <c r="AJ43" s="671"/>
      <c r="AK43" s="672"/>
    </row>
    <row r="44" spans="1:37" ht="16" thickBot="1">
      <c r="A44" s="96"/>
      <c r="B44" s="863"/>
      <c r="C44" s="863"/>
      <c r="D44" s="863"/>
      <c r="E44" s="49"/>
      <c r="F44" s="109"/>
      <c r="G44" s="110"/>
      <c r="H44" s="470">
        <f t="shared" si="6"/>
        <v>0</v>
      </c>
      <c r="Q44" s="604"/>
      <c r="R44" s="306" t="s">
        <v>480</v>
      </c>
      <c r="S44" s="229"/>
      <c r="T44" s="524"/>
      <c r="U44" s="547"/>
      <c r="V44" s="524"/>
      <c r="W44" s="547"/>
      <c r="X44" s="230"/>
      <c r="Y44" s="453">
        <f>IF(D57=0,0,($D$57-$D$56)/ABS($D$56))</f>
        <v>0.32047872417845652</v>
      </c>
      <c r="Z44" s="452">
        <f>IF($Y$44&gt;=AI94,2,IF($Y$44&gt;=AI93,1.5,1))</f>
        <v>1.5</v>
      </c>
      <c r="AA44" s="517"/>
      <c r="AC44" s="677"/>
      <c r="AD44" s="673"/>
      <c r="AE44" s="674"/>
      <c r="AF44" s="674"/>
      <c r="AG44" s="674"/>
      <c r="AH44" s="674"/>
      <c r="AI44" s="674"/>
      <c r="AJ44" s="674"/>
      <c r="AK44" s="675"/>
    </row>
    <row r="45" spans="1:37">
      <c r="A45" s="96"/>
      <c r="B45" s="863"/>
      <c r="C45" s="863"/>
      <c r="D45" s="863"/>
      <c r="E45" s="49"/>
      <c r="F45" s="109"/>
      <c r="G45" s="110"/>
      <c r="H45" s="470">
        <f t="shared" si="6"/>
        <v>0</v>
      </c>
      <c r="Q45" s="604" t="s">
        <v>203</v>
      </c>
      <c r="R45" s="304" t="s">
        <v>159</v>
      </c>
      <c r="S45" s="227"/>
      <c r="T45" s="522"/>
      <c r="U45" s="546">
        <f>SUM(T45:T46)</f>
        <v>0</v>
      </c>
      <c r="V45" s="522"/>
      <c r="W45" s="546">
        <f>SUM(V45:V46)</f>
        <v>0</v>
      </c>
      <c r="X45" s="228"/>
      <c r="Y45" s="461">
        <f>D76</f>
        <v>356142.09174311929</v>
      </c>
      <c r="Z45" s="448">
        <f>IF($Y$45&gt;=$AJ$94,3,IF($Y$45&gt;=$AJ$93,2,1))</f>
        <v>2</v>
      </c>
      <c r="AA45" s="462">
        <f>SUM(Z45:Z46)</f>
        <v>3.5</v>
      </c>
      <c r="AC45" s="676" t="s">
        <v>203</v>
      </c>
      <c r="AD45" s="670"/>
      <c r="AE45" s="671"/>
      <c r="AF45" s="671"/>
      <c r="AG45" s="671"/>
      <c r="AH45" s="671"/>
      <c r="AI45" s="671"/>
      <c r="AJ45" s="671"/>
      <c r="AK45" s="672"/>
    </row>
    <row r="46" spans="1:37" ht="16" thickBot="1">
      <c r="A46" s="63"/>
      <c r="B46" s="63"/>
      <c r="C46" s="63"/>
      <c r="E46" s="49"/>
      <c r="F46" s="109"/>
      <c r="G46" s="110"/>
      <c r="H46" s="470">
        <f t="shared" si="6"/>
        <v>0</v>
      </c>
      <c r="Q46" s="604"/>
      <c r="R46" s="306" t="s">
        <v>481</v>
      </c>
      <c r="S46" s="229"/>
      <c r="T46" s="524"/>
      <c r="U46" s="547"/>
      <c r="V46" s="524"/>
      <c r="W46" s="547"/>
      <c r="X46" s="230"/>
      <c r="Y46" s="453">
        <f>IF(D75=0,0,(D76-D75)/D75)</f>
        <v>-5.4217082519983584E-2</v>
      </c>
      <c r="Z46" s="452">
        <f>IF($Y$46&gt;=AK94,2,IF($Y$46&gt;=AK93,1.5,1))</f>
        <v>1.5</v>
      </c>
      <c r="AA46" s="517"/>
      <c r="AC46" s="677"/>
      <c r="AD46" s="673"/>
      <c r="AE46" s="674"/>
      <c r="AF46" s="674"/>
      <c r="AG46" s="674"/>
      <c r="AH46" s="674"/>
      <c r="AI46" s="674"/>
      <c r="AJ46" s="674"/>
      <c r="AK46" s="675"/>
    </row>
    <row r="47" spans="1:37" ht="16" thickBot="1">
      <c r="A47" s="63"/>
      <c r="B47" s="63"/>
      <c r="C47" s="63"/>
      <c r="E47" s="49"/>
      <c r="F47" s="109"/>
      <c r="G47" s="110"/>
      <c r="H47" s="470">
        <f t="shared" si="6"/>
        <v>0</v>
      </c>
      <c r="Q47" s="313"/>
      <c r="T47" s="520"/>
      <c r="U47" s="521"/>
      <c r="V47" s="520"/>
      <c r="W47" s="521"/>
      <c r="Y47" s="47"/>
      <c r="AA47" s="509"/>
      <c r="AD47" s="317"/>
      <c r="AE47" s="86"/>
      <c r="AF47" s="317"/>
      <c r="AG47" s="317"/>
      <c r="AH47" s="317"/>
      <c r="AI47" s="317"/>
      <c r="AJ47" s="317"/>
      <c r="AK47" s="317"/>
    </row>
    <row r="48" spans="1:37">
      <c r="A48" s="63"/>
      <c r="B48" s="63"/>
      <c r="C48" s="63"/>
      <c r="F48" s="107"/>
      <c r="G48" s="108"/>
      <c r="H48" s="470">
        <f t="shared" ref="H48:H56" si="7">F48*4.34*G48</f>
        <v>0</v>
      </c>
      <c r="Q48" s="604" t="s">
        <v>59</v>
      </c>
      <c r="R48" s="304" t="s">
        <v>226</v>
      </c>
      <c r="S48" s="227"/>
      <c r="T48" s="548"/>
      <c r="U48" s="549">
        <f>SUM(T48:T49)</f>
        <v>0</v>
      </c>
      <c r="V48" s="548"/>
      <c r="W48" s="549">
        <f>SUM(V48:V49)</f>
        <v>0</v>
      </c>
      <c r="X48" s="232">
        <v>5</v>
      </c>
      <c r="Y48" s="233"/>
      <c r="Z48" s="234"/>
      <c r="AA48" s="462">
        <f>SUM(X48:X49)</f>
        <v>10</v>
      </c>
      <c r="AC48" s="598" t="s">
        <v>59</v>
      </c>
      <c r="AD48" s="606" t="s">
        <v>560</v>
      </c>
      <c r="AE48" s="606"/>
      <c r="AF48" s="606"/>
      <c r="AG48" s="606"/>
      <c r="AH48" s="606"/>
      <c r="AI48" s="606"/>
      <c r="AJ48" s="606"/>
      <c r="AK48" s="606"/>
    </row>
    <row r="49" spans="1:40" ht="16" thickBot="1">
      <c r="F49" s="109"/>
      <c r="G49" s="110"/>
      <c r="H49" s="470">
        <f t="shared" si="7"/>
        <v>0</v>
      </c>
      <c r="Q49" s="620"/>
      <c r="R49" s="306" t="s">
        <v>228</v>
      </c>
      <c r="S49" s="229"/>
      <c r="T49" s="550"/>
      <c r="U49" s="551"/>
      <c r="V49" s="550"/>
      <c r="W49" s="551"/>
      <c r="X49" s="235">
        <v>5</v>
      </c>
      <c r="Y49" s="231"/>
      <c r="Z49" s="236"/>
      <c r="AA49" s="513"/>
      <c r="AC49" s="598"/>
      <c r="AD49" s="606"/>
      <c r="AE49" s="606"/>
      <c r="AF49" s="606"/>
      <c r="AG49" s="606"/>
      <c r="AH49" s="606"/>
      <c r="AI49" s="606"/>
      <c r="AJ49" s="606"/>
      <c r="AK49" s="606"/>
    </row>
    <row r="50" spans="1:40" ht="17" thickBot="1">
      <c r="A50" s="650" t="s">
        <v>346</v>
      </c>
      <c r="B50" s="83" t="s">
        <v>312</v>
      </c>
      <c r="C50" s="84" t="s">
        <v>310</v>
      </c>
      <c r="D50" s="104">
        <v>25</v>
      </c>
      <c r="F50" s="109"/>
      <c r="G50" s="110"/>
      <c r="H50" s="470">
        <f t="shared" si="7"/>
        <v>0</v>
      </c>
      <c r="AE50" s="45"/>
      <c r="AN50" s="49"/>
    </row>
    <row r="51" spans="1:40" ht="18" thickBot="1">
      <c r="A51" s="651"/>
      <c r="B51" s="80" t="s">
        <v>312</v>
      </c>
      <c r="C51" s="54" t="s">
        <v>311</v>
      </c>
      <c r="D51" s="104">
        <v>25</v>
      </c>
      <c r="F51" s="109"/>
      <c r="G51" s="110"/>
      <c r="H51" s="470">
        <f t="shared" si="7"/>
        <v>0</v>
      </c>
      <c r="Q51" s="250" t="str">
        <f>D9 &amp; "의 모의측정 점수"</f>
        <v>갓피플주식회사의 모의측정 점수</v>
      </c>
      <c r="R51" s="251"/>
      <c r="S51" s="251"/>
      <c r="T51" s="552" t="str">
        <f>IF(U51&gt;=90,"탁월",IF(U51&gt;=75,"우수",IF(U51&gt;=60,"양호",IF(U51&gt;=45,"미흡","취약"))))</f>
        <v>취약</v>
      </c>
      <c r="U51" s="553">
        <f>SUM(U5:U49)</f>
        <v>0</v>
      </c>
      <c r="V51" s="552" t="str">
        <f>IF(W51&gt;=90,"탁월",IF(W51&gt;=75,"우수",IF(W51&gt;=60,"양호",IF(W51&gt;=45,"미흡","취약"))))</f>
        <v>취약</v>
      </c>
      <c r="W51" s="553">
        <f>SUM(W5:W49)</f>
        <v>0</v>
      </c>
      <c r="X51" s="252"/>
      <c r="Y51" s="253"/>
      <c r="Z51" s="463" t="str">
        <f>IF(AA51&gt;=90,"탁월",IF(AA51&gt;=75,"우수",IF(AA51&gt;=60,"양호",IF(AA51&gt;=45,"미흡","취약"))))</f>
        <v>탁월</v>
      </c>
      <c r="AA51" s="464">
        <f>SUM(AA5:AA49)</f>
        <v>90.1</v>
      </c>
      <c r="AC51" s="586" t="s">
        <v>523</v>
      </c>
      <c r="AD51" s="587"/>
      <c r="AE51" s="587"/>
      <c r="AF51" s="587"/>
      <c r="AG51" s="587"/>
      <c r="AH51" s="587"/>
      <c r="AI51" s="587"/>
      <c r="AJ51" s="587"/>
      <c r="AK51" s="587"/>
    </row>
    <row r="52" spans="1:40" ht="16">
      <c r="A52" s="652"/>
      <c r="B52" s="111" t="s">
        <v>314</v>
      </c>
      <c r="C52" s="54" t="s">
        <v>311</v>
      </c>
      <c r="D52" s="104">
        <v>19</v>
      </c>
      <c r="F52" s="109"/>
      <c r="G52" s="110"/>
      <c r="H52" s="470">
        <f t="shared" si="7"/>
        <v>0</v>
      </c>
      <c r="Q52" s="96"/>
      <c r="S52" s="48"/>
      <c r="T52" s="48"/>
      <c r="U52" s="319">
        <f>100-U51</f>
        <v>100</v>
      </c>
      <c r="V52" s="48"/>
      <c r="W52" s="319">
        <f>100-W51</f>
        <v>100</v>
      </c>
      <c r="Z52" s="318"/>
      <c r="AA52" s="319">
        <f>100-AA51</f>
        <v>9.9000000000000057</v>
      </c>
      <c r="AB52" s="279"/>
      <c r="AE52" s="45"/>
    </row>
    <row r="53" spans="1:40" ht="13.5" customHeight="1">
      <c r="F53" s="107"/>
      <c r="G53" s="108"/>
      <c r="H53" s="470">
        <f t="shared" si="7"/>
        <v>0</v>
      </c>
      <c r="Q53" s="299"/>
      <c r="S53" s="48"/>
      <c r="T53" s="48"/>
      <c r="U53" s="48"/>
      <c r="V53" s="48"/>
      <c r="W53" s="48"/>
      <c r="Z53" s="318" t="s">
        <v>365</v>
      </c>
      <c r="AA53" s="319">
        <v>45</v>
      </c>
      <c r="AB53" s="279">
        <v>26.11</v>
      </c>
      <c r="AC53" s="583" t="s">
        <v>556</v>
      </c>
      <c r="AD53" s="588" t="s">
        <v>557</v>
      </c>
      <c r="AE53" s="589"/>
      <c r="AF53" s="589"/>
      <c r="AG53" s="589"/>
      <c r="AH53" s="589"/>
      <c r="AI53" s="589"/>
      <c r="AJ53" s="590"/>
    </row>
    <row r="54" spans="1:40" ht="13.5" customHeight="1">
      <c r="A54" s="617" t="s">
        <v>316</v>
      </c>
      <c r="B54" s="212" t="s">
        <v>313</v>
      </c>
      <c r="C54" s="213" t="s">
        <v>310</v>
      </c>
      <c r="D54" s="215">
        <v>1309292048</v>
      </c>
      <c r="F54" s="109"/>
      <c r="G54" s="110"/>
      <c r="H54" s="470">
        <f t="shared" si="7"/>
        <v>0</v>
      </c>
      <c r="Q54" s="96"/>
      <c r="S54" s="48"/>
      <c r="T54" s="48"/>
      <c r="U54" s="48"/>
      <c r="V54" s="48"/>
      <c r="W54" s="48"/>
      <c r="X54" s="45"/>
      <c r="Z54" s="318" t="s">
        <v>366</v>
      </c>
      <c r="AA54" s="319">
        <v>15</v>
      </c>
      <c r="AB54" s="279">
        <v>50.49</v>
      </c>
      <c r="AC54" s="584"/>
      <c r="AD54" s="591"/>
      <c r="AE54" s="592"/>
      <c r="AF54" s="592"/>
      <c r="AG54" s="592"/>
      <c r="AH54" s="592"/>
      <c r="AI54" s="592"/>
      <c r="AJ54" s="593"/>
    </row>
    <row r="55" spans="1:40" ht="13.5" customHeight="1">
      <c r="A55" s="618"/>
      <c r="B55" s="79" t="s">
        <v>313</v>
      </c>
      <c r="C55" s="54" t="s">
        <v>311</v>
      </c>
      <c r="D55" s="215">
        <v>1281043104</v>
      </c>
      <c r="F55" s="109"/>
      <c r="G55" s="110"/>
      <c r="H55" s="470">
        <f t="shared" si="7"/>
        <v>0</v>
      </c>
      <c r="Q55" s="586" t="s">
        <v>525</v>
      </c>
      <c r="R55" s="587"/>
      <c r="S55" s="587"/>
      <c r="T55" s="587"/>
      <c r="U55" s="587"/>
      <c r="V55" s="587"/>
      <c r="W55" s="587"/>
      <c r="X55" s="587"/>
      <c r="Z55" s="318" t="s">
        <v>367</v>
      </c>
      <c r="AA55" s="319">
        <v>15</v>
      </c>
      <c r="AB55" s="279">
        <v>67.44</v>
      </c>
      <c r="AC55" s="585"/>
      <c r="AD55" s="594"/>
      <c r="AE55" s="595"/>
      <c r="AF55" s="595"/>
      <c r="AG55" s="595"/>
      <c r="AH55" s="595"/>
      <c r="AI55" s="595"/>
      <c r="AJ55" s="596"/>
    </row>
    <row r="56" spans="1:40" ht="14.25" customHeight="1">
      <c r="A56" s="618"/>
      <c r="B56" s="212" t="s">
        <v>352</v>
      </c>
      <c r="C56" s="213" t="s">
        <v>310</v>
      </c>
      <c r="D56" s="214">
        <v>-36070123</v>
      </c>
      <c r="F56" s="109"/>
      <c r="G56" s="110"/>
      <c r="H56" s="470">
        <f t="shared" si="7"/>
        <v>0</v>
      </c>
      <c r="Q56" s="45"/>
      <c r="S56" s="45"/>
      <c r="T56" s="45"/>
      <c r="U56" s="45"/>
      <c r="V56" s="45"/>
      <c r="W56" s="45"/>
      <c r="X56" s="45"/>
      <c r="Z56" s="318" t="s">
        <v>368</v>
      </c>
      <c r="AA56" s="319">
        <v>15</v>
      </c>
      <c r="AB56" s="279">
        <v>80.81</v>
      </c>
      <c r="AC56" s="583" t="s">
        <v>558</v>
      </c>
      <c r="AD56" s="588" t="s">
        <v>559</v>
      </c>
      <c r="AE56" s="589"/>
      <c r="AF56" s="589"/>
      <c r="AG56" s="589"/>
      <c r="AH56" s="589"/>
      <c r="AI56" s="589"/>
      <c r="AJ56" s="590"/>
    </row>
    <row r="57" spans="1:40" ht="14.25" customHeight="1" thickBot="1">
      <c r="A57" s="619"/>
      <c r="B57" s="79" t="s">
        <v>352</v>
      </c>
      <c r="C57" s="54" t="s">
        <v>311</v>
      </c>
      <c r="D57" s="215">
        <v>-24510416</v>
      </c>
      <c r="F57" s="99" t="s">
        <v>189</v>
      </c>
      <c r="G57" s="472">
        <v>25</v>
      </c>
      <c r="H57" s="471">
        <v>3597</v>
      </c>
      <c r="Q57" s="583" t="s">
        <v>530</v>
      </c>
      <c r="R57" s="588"/>
      <c r="S57" s="589"/>
      <c r="T57" s="589"/>
      <c r="U57" s="589"/>
      <c r="V57" s="589"/>
      <c r="W57" s="589"/>
      <c r="X57" s="590"/>
      <c r="Z57" s="318" t="s">
        <v>369</v>
      </c>
      <c r="AA57" s="319">
        <v>10</v>
      </c>
      <c r="AB57" s="279">
        <v>92.85</v>
      </c>
      <c r="AC57" s="584"/>
      <c r="AD57" s="591"/>
      <c r="AE57" s="592"/>
      <c r="AF57" s="592"/>
      <c r="AG57" s="592"/>
      <c r="AH57" s="592"/>
      <c r="AI57" s="592"/>
      <c r="AJ57" s="593"/>
    </row>
    <row r="58" spans="1:40" ht="14.25" customHeight="1" thickBot="1">
      <c r="C58" s="478" t="str">
        <f>IF($D$55&gt;VLOOKUP($D$20,코드!$C$5:$D$22,2,0),"중기업", "소기업")</f>
        <v>소기업</v>
      </c>
      <c r="D58" s="479">
        <f>IF(C58="소기업",VLOOKUP($D$20,선택!$A$25:$B$42,2,0),VLOOKUP($D$20,선택!A25:C42,3,0))</f>
        <v>14</v>
      </c>
      <c r="F58" s="607" t="str">
        <f>IF(G57=D51,"","2024년 근로자수 확인바람")</f>
        <v/>
      </c>
      <c r="G58" s="608"/>
      <c r="H58" s="609"/>
      <c r="Q58" s="584"/>
      <c r="R58" s="591"/>
      <c r="S58" s="592"/>
      <c r="T58" s="592"/>
      <c r="U58" s="592"/>
      <c r="V58" s="592"/>
      <c r="W58" s="592"/>
      <c r="X58" s="593"/>
      <c r="Z58" s="320" t="str">
        <f>D9</f>
        <v>갓피플주식회사</v>
      </c>
      <c r="AA58" s="319"/>
      <c r="AB58" s="279">
        <f>AA51</f>
        <v>90.1</v>
      </c>
      <c r="AC58" s="585"/>
      <c r="AD58" s="594"/>
      <c r="AE58" s="595"/>
      <c r="AF58" s="595"/>
      <c r="AG58" s="595"/>
      <c r="AH58" s="595"/>
      <c r="AI58" s="595"/>
      <c r="AJ58" s="596"/>
    </row>
    <row r="59" spans="1:40" ht="13.5" customHeight="1">
      <c r="Q59" s="585"/>
      <c r="R59" s="594"/>
      <c r="S59" s="595"/>
      <c r="T59" s="595"/>
      <c r="U59" s="595"/>
      <c r="V59" s="595"/>
      <c r="W59" s="595"/>
      <c r="X59" s="596"/>
      <c r="Z59" s="399">
        <f>VLOOKUP(D58,코드!E5:AN44,36,0)</f>
        <v>61.234782608695646</v>
      </c>
      <c r="AA59" s="319" t="str">
        <f>IF(AA51&gt;Z59,"높은",IF(AA51=Z59,"동일한","낮은"))</f>
        <v>높은</v>
      </c>
      <c r="AC59" s="583" t="s">
        <v>561</v>
      </c>
      <c r="AD59" s="588" t="s">
        <v>562</v>
      </c>
      <c r="AE59" s="589"/>
      <c r="AF59" s="589"/>
      <c r="AG59" s="589"/>
      <c r="AH59" s="589"/>
      <c r="AI59" s="589"/>
      <c r="AJ59" s="590"/>
    </row>
    <row r="60" spans="1:40" ht="13.5" customHeight="1">
      <c r="A60" s="610" t="s">
        <v>317</v>
      </c>
      <c r="B60" s="112" t="s">
        <v>319</v>
      </c>
      <c r="C60" s="81" t="s">
        <v>324</v>
      </c>
      <c r="D60" s="106">
        <v>49154954</v>
      </c>
      <c r="Q60" s="583" t="s">
        <v>370</v>
      </c>
      <c r="R60" s="588"/>
      <c r="S60" s="589"/>
      <c r="T60" s="589"/>
      <c r="U60" s="589"/>
      <c r="V60" s="589"/>
      <c r="W60" s="589"/>
      <c r="X60" s="590"/>
      <c r="AC60" s="584"/>
      <c r="AD60" s="591"/>
      <c r="AE60" s="592"/>
      <c r="AF60" s="592"/>
      <c r="AG60" s="592"/>
      <c r="AH60" s="592"/>
      <c r="AI60" s="592"/>
      <c r="AJ60" s="593"/>
    </row>
    <row r="61" spans="1:40" ht="13.5" customHeight="1">
      <c r="A61" s="610"/>
      <c r="B61" s="112" t="s">
        <v>320</v>
      </c>
      <c r="C61" s="81" t="s">
        <v>324</v>
      </c>
      <c r="D61" s="97">
        <f>D41</f>
        <v>2755</v>
      </c>
      <c r="Q61" s="584"/>
      <c r="R61" s="591"/>
      <c r="S61" s="592"/>
      <c r="T61" s="592"/>
      <c r="U61" s="592"/>
      <c r="V61" s="592"/>
      <c r="W61" s="592"/>
      <c r="X61" s="593"/>
      <c r="AC61" s="585"/>
      <c r="AD61" s="594"/>
      <c r="AE61" s="595"/>
      <c r="AF61" s="595"/>
      <c r="AG61" s="595"/>
      <c r="AH61" s="595"/>
      <c r="AI61" s="595"/>
      <c r="AJ61" s="596"/>
    </row>
    <row r="62" spans="1:40" ht="16">
      <c r="A62" s="610"/>
      <c r="B62" s="112" t="s">
        <v>321</v>
      </c>
      <c r="C62" s="81" t="s">
        <v>324</v>
      </c>
      <c r="D62" s="98">
        <f>IF(D60=0, 0, D60/D61)</f>
        <v>17842.088566243194</v>
      </c>
      <c r="Q62" s="585"/>
      <c r="R62" s="594"/>
      <c r="S62" s="595"/>
      <c r="T62" s="595"/>
      <c r="U62" s="595"/>
      <c r="V62" s="595"/>
      <c r="W62" s="595"/>
      <c r="X62" s="596"/>
    </row>
    <row r="63" spans="1:40" ht="13.5" customHeight="1">
      <c r="A63" s="610"/>
      <c r="B63" s="82" t="s">
        <v>323</v>
      </c>
      <c r="C63" s="82" t="s">
        <v>318</v>
      </c>
      <c r="D63" s="97">
        <f>H36</f>
        <v>3477</v>
      </c>
      <c r="Q63" s="583" t="s">
        <v>370</v>
      </c>
      <c r="R63" s="588"/>
      <c r="S63" s="589"/>
      <c r="T63" s="589"/>
      <c r="U63" s="589"/>
      <c r="V63" s="589"/>
      <c r="W63" s="589"/>
      <c r="X63" s="590"/>
      <c r="AC63" s="581" t="s">
        <v>445</v>
      </c>
      <c r="AD63" s="582"/>
      <c r="AE63" s="582"/>
      <c r="AF63" s="582"/>
      <c r="AG63" s="582"/>
      <c r="AH63" s="582"/>
      <c r="AI63" s="582"/>
      <c r="AJ63" s="582"/>
    </row>
    <row r="64" spans="1:40" ht="14.25" customHeight="1" thickBot="1">
      <c r="A64" s="610"/>
      <c r="B64" s="81" t="s">
        <v>323</v>
      </c>
      <c r="C64" s="81" t="s">
        <v>324</v>
      </c>
      <c r="D64" s="97">
        <f>H57</f>
        <v>3597</v>
      </c>
      <c r="Q64" s="584"/>
      <c r="R64" s="591"/>
      <c r="S64" s="592"/>
      <c r="T64" s="592"/>
      <c r="U64" s="592"/>
      <c r="V64" s="592"/>
      <c r="W64" s="592"/>
      <c r="X64" s="593"/>
    </row>
    <row r="65" spans="1:36" ht="13.5" customHeight="1">
      <c r="A65" s="610"/>
      <c r="B65" s="81" t="s">
        <v>322</v>
      </c>
      <c r="C65" s="81" t="s">
        <v>324</v>
      </c>
      <c r="D65" s="106">
        <v>63076779</v>
      </c>
      <c r="Q65" s="585"/>
      <c r="R65" s="594"/>
      <c r="S65" s="595"/>
      <c r="T65" s="595"/>
      <c r="U65" s="595"/>
      <c r="V65" s="595"/>
      <c r="W65" s="595"/>
      <c r="X65" s="596"/>
      <c r="AC65" s="572" t="s">
        <v>545</v>
      </c>
      <c r="AD65" s="573"/>
      <c r="AE65" s="573"/>
      <c r="AF65" s="573"/>
      <c r="AG65" s="573"/>
      <c r="AH65" s="573"/>
      <c r="AI65" s="573"/>
      <c r="AJ65" s="574"/>
    </row>
    <row r="66" spans="1:36" ht="13.5" customHeight="1">
      <c r="A66" s="610"/>
      <c r="B66" s="81" t="s">
        <v>371</v>
      </c>
      <c r="C66" s="81" t="s">
        <v>324</v>
      </c>
      <c r="D66" s="98">
        <f>IF(D64=0, 0, D65/D64)</f>
        <v>17535.940783986654</v>
      </c>
      <c r="Q66" s="583" t="s">
        <v>370</v>
      </c>
      <c r="R66" s="588"/>
      <c r="S66" s="589"/>
      <c r="T66" s="589"/>
      <c r="U66" s="589"/>
      <c r="V66" s="589"/>
      <c r="W66" s="589"/>
      <c r="X66" s="590"/>
      <c r="AC66" s="575"/>
      <c r="AD66" s="576"/>
      <c r="AE66" s="576"/>
      <c r="AF66" s="576"/>
      <c r="AG66" s="576"/>
      <c r="AH66" s="576"/>
      <c r="AI66" s="576"/>
      <c r="AJ66" s="577"/>
    </row>
    <row r="67" spans="1:36" ht="13.5" customHeight="1">
      <c r="Q67" s="584"/>
      <c r="R67" s="591"/>
      <c r="S67" s="592"/>
      <c r="T67" s="592"/>
      <c r="U67" s="592"/>
      <c r="V67" s="592"/>
      <c r="W67" s="592"/>
      <c r="X67" s="593"/>
      <c r="AC67" s="575"/>
      <c r="AD67" s="576"/>
      <c r="AE67" s="576"/>
      <c r="AF67" s="576"/>
      <c r="AG67" s="576"/>
      <c r="AH67" s="576"/>
      <c r="AI67" s="576"/>
      <c r="AJ67" s="577"/>
    </row>
    <row r="68" spans="1:36" ht="14.25" customHeight="1">
      <c r="A68" s="617" t="s">
        <v>330</v>
      </c>
      <c r="B68" s="611" t="s">
        <v>192</v>
      </c>
      <c r="C68" s="612"/>
      <c r="D68" s="105">
        <v>7791955</v>
      </c>
      <c r="Q68" s="585"/>
      <c r="R68" s="594"/>
      <c r="S68" s="595"/>
      <c r="T68" s="595"/>
      <c r="U68" s="595"/>
      <c r="V68" s="595"/>
      <c r="W68" s="595"/>
      <c r="X68" s="596"/>
      <c r="AC68" s="575"/>
      <c r="AD68" s="576"/>
      <c r="AE68" s="576"/>
      <c r="AF68" s="576"/>
      <c r="AG68" s="576"/>
      <c r="AH68" s="576"/>
      <c r="AI68" s="576"/>
      <c r="AJ68" s="577"/>
    </row>
    <row r="69" spans="1:36" ht="13.5" customHeight="1">
      <c r="A69" s="618"/>
      <c r="B69" s="613" t="s">
        <v>337</v>
      </c>
      <c r="C69" s="614"/>
      <c r="D69" s="120">
        <v>420000</v>
      </c>
      <c r="Q69" s="583" t="s">
        <v>370</v>
      </c>
      <c r="R69" s="588"/>
      <c r="S69" s="589"/>
      <c r="T69" s="589"/>
      <c r="U69" s="589"/>
      <c r="V69" s="589"/>
      <c r="W69" s="589"/>
      <c r="X69" s="590"/>
      <c r="AC69" s="575"/>
      <c r="AD69" s="576"/>
      <c r="AE69" s="576"/>
      <c r="AF69" s="576"/>
      <c r="AG69" s="576"/>
      <c r="AH69" s="576"/>
      <c r="AI69" s="576"/>
      <c r="AJ69" s="577"/>
    </row>
    <row r="70" spans="1:36" ht="13.5" customHeight="1">
      <c r="A70" s="618"/>
      <c r="B70" s="621" t="s">
        <v>194</v>
      </c>
      <c r="C70" s="622"/>
      <c r="D70" s="105">
        <v>2376909</v>
      </c>
      <c r="Q70" s="584"/>
      <c r="R70" s="591"/>
      <c r="S70" s="592"/>
      <c r="T70" s="592"/>
      <c r="U70" s="592"/>
      <c r="V70" s="592"/>
      <c r="W70" s="592"/>
      <c r="X70" s="593"/>
      <c r="AC70" s="575"/>
      <c r="AD70" s="576"/>
      <c r="AE70" s="576"/>
      <c r="AF70" s="576"/>
      <c r="AG70" s="576"/>
      <c r="AH70" s="576"/>
      <c r="AI70" s="576"/>
      <c r="AJ70" s="577"/>
    </row>
    <row r="71" spans="1:36" ht="13.5" customHeight="1">
      <c r="A71" s="618"/>
      <c r="B71" s="615" t="s">
        <v>210</v>
      </c>
      <c r="C71" s="616"/>
      <c r="D71" s="105">
        <v>7801340</v>
      </c>
      <c r="Q71" s="585"/>
      <c r="R71" s="594"/>
      <c r="S71" s="595"/>
      <c r="T71" s="595"/>
      <c r="U71" s="595"/>
      <c r="V71" s="595"/>
      <c r="W71" s="595"/>
      <c r="X71" s="596"/>
      <c r="AC71" s="575"/>
      <c r="AD71" s="576"/>
      <c r="AE71" s="576"/>
      <c r="AF71" s="576"/>
      <c r="AG71" s="576"/>
      <c r="AH71" s="576"/>
      <c r="AI71" s="576"/>
      <c r="AJ71" s="577"/>
    </row>
    <row r="72" spans="1:36">
      <c r="A72" s="618"/>
      <c r="B72" s="615" t="s">
        <v>213</v>
      </c>
      <c r="C72" s="616"/>
      <c r="D72" s="105">
        <v>35016800</v>
      </c>
      <c r="S72" s="48"/>
      <c r="T72" s="48"/>
      <c r="U72" s="48"/>
      <c r="V72" s="48"/>
      <c r="W72" s="48"/>
      <c r="AC72" s="575"/>
      <c r="AD72" s="576"/>
      <c r="AE72" s="576"/>
      <c r="AF72" s="576"/>
      <c r="AG72" s="576"/>
      <c r="AH72" s="576"/>
      <c r="AI72" s="576"/>
      <c r="AJ72" s="577"/>
    </row>
    <row r="73" spans="1:36">
      <c r="A73" s="619"/>
      <c r="B73" s="615" t="s">
        <v>429</v>
      </c>
      <c r="C73" s="616"/>
      <c r="D73" s="489">
        <f>VLOOKUP(D58,코드!$E$4:$H$43,4,0)</f>
        <v>8879337</v>
      </c>
      <c r="S73" s="48"/>
      <c r="T73" s="48"/>
      <c r="U73" s="48"/>
      <c r="V73" s="48"/>
      <c r="W73" s="48"/>
      <c r="AC73" s="575"/>
      <c r="AD73" s="576"/>
      <c r="AE73" s="576"/>
      <c r="AF73" s="576"/>
      <c r="AG73" s="576"/>
      <c r="AH73" s="576"/>
      <c r="AI73" s="576"/>
      <c r="AJ73" s="577"/>
    </row>
    <row r="74" spans="1:36">
      <c r="Q74" s="586" t="s">
        <v>526</v>
      </c>
      <c r="R74" s="587"/>
      <c r="S74" s="587"/>
      <c r="T74" s="587"/>
      <c r="U74" s="587"/>
      <c r="V74" s="587"/>
      <c r="W74" s="587"/>
      <c r="X74" s="587"/>
      <c r="AC74" s="575"/>
      <c r="AD74" s="576"/>
      <c r="AE74" s="576"/>
      <c r="AF74" s="576"/>
      <c r="AG74" s="576"/>
      <c r="AH74" s="576"/>
      <c r="AI74" s="576"/>
      <c r="AJ74" s="577"/>
    </row>
    <row r="75" spans="1:36" ht="16">
      <c r="A75" s="330" t="s">
        <v>159</v>
      </c>
      <c r="B75" s="225"/>
      <c r="C75" s="82" t="s">
        <v>318</v>
      </c>
      <c r="D75" s="98">
        <f>IF(D63=0, 0, D54/D63)</f>
        <v>376557.96606269776</v>
      </c>
      <c r="Q75" s="45"/>
      <c r="S75" s="45"/>
      <c r="T75" s="45"/>
      <c r="U75" s="45"/>
      <c r="V75" s="45"/>
      <c r="W75" s="45"/>
      <c r="X75" s="45"/>
      <c r="AC75" s="575"/>
      <c r="AD75" s="576"/>
      <c r="AE75" s="576"/>
      <c r="AF75" s="576"/>
      <c r="AG75" s="576"/>
      <c r="AH75" s="576"/>
      <c r="AI75" s="576"/>
      <c r="AJ75" s="577"/>
    </row>
    <row r="76" spans="1:36" ht="13.5" customHeight="1">
      <c r="A76" s="331"/>
      <c r="B76" s="226"/>
      <c r="C76" s="81" t="s">
        <v>324</v>
      </c>
      <c r="D76" s="98">
        <f>IF(D64=0, 0, D55/D64)</f>
        <v>356142.09174311929</v>
      </c>
      <c r="Q76" s="583" t="s">
        <v>370</v>
      </c>
      <c r="R76" s="588"/>
      <c r="S76" s="589"/>
      <c r="T76" s="589"/>
      <c r="U76" s="589"/>
      <c r="V76" s="589"/>
      <c r="W76" s="589"/>
      <c r="X76" s="590"/>
      <c r="AC76" s="575"/>
      <c r="AD76" s="576"/>
      <c r="AE76" s="576"/>
      <c r="AF76" s="576"/>
      <c r="AG76" s="576"/>
      <c r="AH76" s="576"/>
      <c r="AI76" s="576"/>
      <c r="AJ76" s="577"/>
    </row>
    <row r="77" spans="1:36" ht="14.25" customHeight="1" thickBot="1">
      <c r="Q77" s="584"/>
      <c r="R77" s="591"/>
      <c r="S77" s="592"/>
      <c r="T77" s="592"/>
      <c r="U77" s="592"/>
      <c r="V77" s="592"/>
      <c r="W77" s="592"/>
      <c r="X77" s="593"/>
      <c r="AC77" s="578"/>
      <c r="AD77" s="579"/>
      <c r="AE77" s="579"/>
      <c r="AF77" s="579"/>
      <c r="AG77" s="579"/>
      <c r="AH77" s="579"/>
      <c r="AI77" s="579"/>
      <c r="AJ77" s="580"/>
    </row>
    <row r="78" spans="1:36" ht="13.5" customHeight="1">
      <c r="Q78" s="585"/>
      <c r="R78" s="594"/>
      <c r="S78" s="595"/>
      <c r="T78" s="595"/>
      <c r="U78" s="595"/>
      <c r="V78" s="595"/>
      <c r="W78" s="595"/>
      <c r="X78" s="596"/>
    </row>
    <row r="79" spans="1:36" ht="13.5" customHeight="1">
      <c r="Q79" s="583" t="s">
        <v>370</v>
      </c>
      <c r="R79" s="588"/>
      <c r="S79" s="589"/>
      <c r="T79" s="589"/>
      <c r="U79" s="589"/>
      <c r="V79" s="589"/>
      <c r="W79" s="589"/>
      <c r="X79" s="590"/>
    </row>
    <row r="80" spans="1:36" ht="13.5" customHeight="1">
      <c r="Q80" s="584"/>
      <c r="R80" s="591"/>
      <c r="S80" s="592"/>
      <c r="T80" s="592"/>
      <c r="U80" s="592"/>
      <c r="V80" s="592"/>
      <c r="W80" s="592"/>
      <c r="X80" s="593"/>
    </row>
    <row r="81" spans="17:44" ht="13.5" customHeight="1">
      <c r="Q81" s="585"/>
      <c r="R81" s="594"/>
      <c r="S81" s="595"/>
      <c r="T81" s="595"/>
      <c r="U81" s="595"/>
      <c r="V81" s="595"/>
      <c r="W81" s="595"/>
      <c r="X81" s="596"/>
    </row>
    <row r="82" spans="17:44" ht="13.5" customHeight="1">
      <c r="Q82" s="583" t="s">
        <v>370</v>
      </c>
      <c r="R82" s="588"/>
      <c r="S82" s="589"/>
      <c r="T82" s="589"/>
      <c r="U82" s="589"/>
      <c r="V82" s="589"/>
      <c r="W82" s="589"/>
      <c r="X82" s="590"/>
    </row>
    <row r="83" spans="17:44" ht="13.5" customHeight="1">
      <c r="Q83" s="584"/>
      <c r="R83" s="591"/>
      <c r="S83" s="592"/>
      <c r="T83" s="592"/>
      <c r="U83" s="592"/>
      <c r="V83" s="592"/>
      <c r="W83" s="592"/>
      <c r="X83" s="593"/>
    </row>
    <row r="84" spans="17:44" ht="13.5" customHeight="1">
      <c r="Q84" s="585"/>
      <c r="R84" s="594"/>
      <c r="S84" s="595"/>
      <c r="T84" s="595"/>
      <c r="U84" s="595"/>
      <c r="V84" s="595"/>
      <c r="W84" s="595"/>
      <c r="X84" s="596"/>
    </row>
    <row r="85" spans="17:44" ht="13.5" customHeight="1">
      <c r="Q85" s="583" t="s">
        <v>370</v>
      </c>
      <c r="R85" s="588"/>
      <c r="S85" s="589"/>
      <c r="T85" s="589"/>
      <c r="U85" s="589"/>
      <c r="V85" s="589"/>
      <c r="W85" s="589"/>
      <c r="X85" s="590"/>
    </row>
    <row r="86" spans="17:44" ht="13.5" customHeight="1">
      <c r="Q86" s="584"/>
      <c r="R86" s="591"/>
      <c r="S86" s="592"/>
      <c r="T86" s="592"/>
      <c r="U86" s="592"/>
      <c r="V86" s="592"/>
      <c r="W86" s="592"/>
      <c r="X86" s="593"/>
    </row>
    <row r="87" spans="17:44" ht="13.5" customHeight="1">
      <c r="Q87" s="585"/>
      <c r="R87" s="594"/>
      <c r="S87" s="595"/>
      <c r="T87" s="595"/>
      <c r="U87" s="595"/>
      <c r="V87" s="595"/>
      <c r="W87" s="595"/>
      <c r="X87" s="596"/>
    </row>
    <row r="88" spans="17:44" ht="13.5" customHeight="1">
      <c r="Q88" s="583" t="s">
        <v>370</v>
      </c>
      <c r="R88" s="588"/>
      <c r="S88" s="589"/>
      <c r="T88" s="589"/>
      <c r="U88" s="589"/>
      <c r="V88" s="589"/>
      <c r="W88" s="589"/>
      <c r="X88" s="590"/>
    </row>
    <row r="89" spans="17:44" ht="13.5" customHeight="1">
      <c r="Q89" s="584"/>
      <c r="R89" s="591"/>
      <c r="S89" s="592"/>
      <c r="T89" s="592"/>
      <c r="U89" s="592"/>
      <c r="V89" s="592"/>
      <c r="W89" s="592"/>
      <c r="X89" s="593"/>
    </row>
    <row r="90" spans="17:44" ht="14.25" customHeight="1" thickBot="1">
      <c r="Q90" s="585"/>
      <c r="R90" s="594"/>
      <c r="S90" s="595"/>
      <c r="T90" s="595"/>
      <c r="U90" s="595"/>
      <c r="V90" s="595"/>
      <c r="W90" s="595"/>
      <c r="X90" s="596"/>
      <c r="AP90" s="279" t="s">
        <v>57</v>
      </c>
      <c r="AQ90" s="279" t="s">
        <v>101</v>
      </c>
      <c r="AR90" s="279" t="s">
        <v>201</v>
      </c>
    </row>
    <row r="91" spans="17:44">
      <c r="S91" s="48"/>
      <c r="T91" s="48"/>
      <c r="U91" s="48"/>
      <c r="V91" s="48"/>
      <c r="W91" s="48"/>
      <c r="AC91" s="627" t="s">
        <v>200</v>
      </c>
      <c r="AD91" s="623" t="s">
        <v>57</v>
      </c>
      <c r="AE91" s="623" t="s">
        <v>101</v>
      </c>
      <c r="AF91" s="623" t="s">
        <v>201</v>
      </c>
      <c r="AG91" s="623" t="s">
        <v>350</v>
      </c>
      <c r="AH91" s="623" t="s">
        <v>202</v>
      </c>
      <c r="AI91" s="623" t="s">
        <v>349</v>
      </c>
      <c r="AJ91" s="623" t="s">
        <v>203</v>
      </c>
      <c r="AK91" s="625" t="s">
        <v>348</v>
      </c>
      <c r="AP91" s="51">
        <v>8</v>
      </c>
      <c r="AQ91" s="279">
        <v>6</v>
      </c>
      <c r="AR91" s="279">
        <v>6</v>
      </c>
    </row>
    <row r="92" spans="17:44">
      <c r="S92" s="48"/>
      <c r="T92" s="48"/>
      <c r="U92" s="48"/>
      <c r="V92" s="48"/>
      <c r="W92" s="48"/>
      <c r="AC92" s="628"/>
      <c r="AD92" s="624"/>
      <c r="AE92" s="624"/>
      <c r="AF92" s="624"/>
      <c r="AG92" s="624"/>
      <c r="AH92" s="624"/>
      <c r="AI92" s="624"/>
      <c r="AJ92" s="624"/>
      <c r="AK92" s="626"/>
      <c r="AP92" s="51">
        <v>6.4</v>
      </c>
      <c r="AQ92" s="279">
        <v>4.8</v>
      </c>
      <c r="AR92" s="279">
        <v>4.8</v>
      </c>
    </row>
    <row r="93" spans="17:44">
      <c r="S93" s="48"/>
      <c r="T93" s="48"/>
      <c r="U93" s="48"/>
      <c r="V93" s="48"/>
      <c r="W93" s="48"/>
      <c r="AC93" s="480" t="s">
        <v>206</v>
      </c>
      <c r="AD93" s="481">
        <f>VLOOKUP($D$58,코드!$E$4:$AM$44,5,0)</f>
        <v>11636</v>
      </c>
      <c r="AE93" s="481">
        <f>VLOOKUP($D$58,코드!$E$4:$AM$44,10,0)</f>
        <v>5</v>
      </c>
      <c r="AF93" s="481">
        <f>VLOOKUP($D$58,코드!$E$4:$AM$44,15,0)</f>
        <v>263130024</v>
      </c>
      <c r="AG93" s="482">
        <f>(VLOOKUP($D$58,코드!$E$4:$AM$44,20,0))/100</f>
        <v>-0.16899999999999998</v>
      </c>
      <c r="AH93" s="483">
        <f>VLOOKUP($D$58,코드!$E$4:$AM$44,24,0)</f>
        <v>-57990728</v>
      </c>
      <c r="AI93" s="482">
        <f>(VLOOKUP($D$58,코드!$E$4:$AM$44,27,0))/100</f>
        <v>-1.5230000000000001</v>
      </c>
      <c r="AJ93" s="483">
        <f>VLOOKUP($D$58,코드!$E$4:$AM$44,30,0)</f>
        <v>222664</v>
      </c>
      <c r="AK93" s="484">
        <f>(VLOOKUP($D$58,코드!$E$4:$AM$44,33,0))/100</f>
        <v>-0.191</v>
      </c>
      <c r="AP93" s="51">
        <v>4.8</v>
      </c>
      <c r="AQ93" s="279">
        <v>3.6</v>
      </c>
      <c r="AR93" s="279">
        <v>3.6</v>
      </c>
    </row>
    <row r="94" spans="17:44">
      <c r="S94" s="48"/>
      <c r="T94" s="48"/>
      <c r="U94" s="48"/>
      <c r="V94" s="48"/>
      <c r="W94" s="48"/>
      <c r="AC94" s="480" t="s">
        <v>209</v>
      </c>
      <c r="AD94" s="481">
        <f>VLOOKUP($D$58,코드!$E$4:$AM$44,6,0)</f>
        <v>12677</v>
      </c>
      <c r="AE94" s="481">
        <f>VLOOKUP($D$58,코드!$E$4:$AM$44,11,0)</f>
        <v>7</v>
      </c>
      <c r="AF94" s="481">
        <f>VLOOKUP($D$58,코드!$E$4:$AM$44,16,0)</f>
        <v>485420101</v>
      </c>
      <c r="AG94" s="482">
        <f>(VLOOKUP($D$58,코드!$E$4:$AM$44,21,0))/100</f>
        <v>5.0999999999999997E-2</v>
      </c>
      <c r="AH94" s="483">
        <f>VLOOKUP($D$58,코드!$E$4:$AM$44,25,0)</f>
        <v>6431554</v>
      </c>
      <c r="AI94" s="482">
        <f>(VLOOKUP($D$58,코드!$E$4:$AM$44,28,0))/100</f>
        <v>0.51500000000000001</v>
      </c>
      <c r="AJ94" s="483">
        <f>VLOOKUP($D$58,코드!$E$4:$AM$44,31,0)</f>
        <v>418524</v>
      </c>
      <c r="AK94" s="484">
        <f>(VLOOKUP($D$58,코드!$E$4:$AM$44,34,0))/100</f>
        <v>0.22699999999999998</v>
      </c>
      <c r="AP94" s="51">
        <v>3.2</v>
      </c>
      <c r="AQ94" s="279">
        <v>2.4</v>
      </c>
      <c r="AR94" s="279">
        <v>2.4</v>
      </c>
    </row>
    <row r="95" spans="17:44">
      <c r="S95" s="48"/>
      <c r="T95" s="48"/>
      <c r="U95" s="48"/>
      <c r="V95" s="48"/>
      <c r="W95" s="48"/>
      <c r="AC95" s="480" t="s">
        <v>212</v>
      </c>
      <c r="AD95" s="481">
        <f>VLOOKUP($D$58,코드!$E$4:$AM$44,7,0)</f>
        <v>14069</v>
      </c>
      <c r="AE95" s="481">
        <f>VLOOKUP($D$58,코드!$E$4:$AM$44,12,0)</f>
        <v>13</v>
      </c>
      <c r="AF95" s="481">
        <f>VLOOKUP($D$58,코드!$E$4:$AM$44,17,0)</f>
        <v>764197525</v>
      </c>
      <c r="AG95" s="482">
        <f>(VLOOKUP($D$58,코드!$E$4:$AM$44,22,0))/100</f>
        <v>0.20100000000000001</v>
      </c>
      <c r="AH95" s="483">
        <f>VLOOKUP($D$58,코드!$E$4:$AM$44,26,0)</f>
        <v>6431554</v>
      </c>
      <c r="AI95" s="482">
        <f>(VLOOKUP($D$58,코드!$E$4:$AM$44,29,0))/100</f>
        <v>0.51500000000000001</v>
      </c>
      <c r="AJ95" s="483">
        <f>VLOOKUP($D$58,코드!$E$4:$AM$44,32,0)</f>
        <v>418524</v>
      </c>
      <c r="AK95" s="484">
        <f>(VLOOKUP($D$58,코드!$E$4:$AM$44,35,0))/100</f>
        <v>0.22699999999999998</v>
      </c>
      <c r="AP95" s="51">
        <v>1.6</v>
      </c>
      <c r="AQ95" s="279">
        <v>1.2</v>
      </c>
      <c r="AR95" s="279">
        <v>1.2</v>
      </c>
    </row>
    <row r="96" spans="17:44">
      <c r="S96" s="48"/>
      <c r="T96" s="48"/>
      <c r="U96" s="48"/>
      <c r="V96" s="48"/>
      <c r="W96" s="48"/>
      <c r="AC96" s="480" t="s">
        <v>215</v>
      </c>
      <c r="AD96" s="481">
        <f>VLOOKUP($D$58,코드!$E$4:$AM$44,8,0)</f>
        <v>16643</v>
      </c>
      <c r="AE96" s="481">
        <f>VLOOKUP($D$58,코드!$E$4:$AM$44,13,0)</f>
        <v>26</v>
      </c>
      <c r="AF96" s="481">
        <f>VLOOKUP($D$58,코드!$E$4:$AM$44,18,0)</f>
        <v>1291859616</v>
      </c>
      <c r="AG96" s="442"/>
      <c r="AH96" s="442"/>
      <c r="AI96" s="442"/>
      <c r="AJ96" s="442"/>
      <c r="AK96" s="485"/>
      <c r="AP96" s="279"/>
      <c r="AQ96" s="279">
        <v>4</v>
      </c>
      <c r="AR96" s="279">
        <v>4</v>
      </c>
    </row>
    <row r="97" spans="19:44" ht="16" thickBot="1">
      <c r="S97" s="48"/>
      <c r="T97" s="48"/>
      <c r="U97" s="48"/>
      <c r="V97" s="48"/>
      <c r="W97" s="48"/>
      <c r="AC97" s="486" t="s">
        <v>217</v>
      </c>
      <c r="AD97" s="487">
        <f>VLOOKUP($D$58,코드!$E$4:$AM$44,9,0)</f>
        <v>16643</v>
      </c>
      <c r="AE97" s="487">
        <f>VLOOKUP($D$58,코드!$E$4:$AM$44,14,0)</f>
        <v>26</v>
      </c>
      <c r="AF97" s="487">
        <f>VLOOKUP($D$58,코드!$E$4:$AM$44,19,0)</f>
        <v>1291859616</v>
      </c>
      <c r="AG97" s="444"/>
      <c r="AH97" s="444"/>
      <c r="AI97" s="444"/>
      <c r="AJ97" s="444"/>
      <c r="AK97" s="488"/>
      <c r="AP97" s="279"/>
      <c r="AQ97" s="279">
        <v>2.5</v>
      </c>
      <c r="AR97" s="279">
        <v>3</v>
      </c>
    </row>
    <row r="98" spans="19:44">
      <c r="S98" s="48"/>
      <c r="T98" s="48"/>
      <c r="U98" s="48"/>
      <c r="V98" s="48"/>
      <c r="W98" s="48"/>
      <c r="AP98" s="279"/>
      <c r="AQ98" s="279">
        <v>1</v>
      </c>
      <c r="AR98" s="279">
        <v>2</v>
      </c>
    </row>
    <row r="99" spans="19:44">
      <c r="S99" s="48"/>
      <c r="T99" s="48"/>
      <c r="U99" s="48"/>
      <c r="V99" s="48"/>
      <c r="W99" s="48"/>
      <c r="AP99" s="279"/>
      <c r="AQ99" s="279"/>
      <c r="AR99" s="279">
        <v>1</v>
      </c>
    </row>
    <row r="100" spans="19:44">
      <c r="S100" s="48"/>
      <c r="T100" s="48"/>
      <c r="U100" s="48"/>
      <c r="V100" s="48"/>
      <c r="W100" s="48"/>
      <c r="AC100" s="42" t="s">
        <v>162</v>
      </c>
      <c r="AD100" s="43" t="s">
        <v>360</v>
      </c>
    </row>
    <row r="101" spans="19:44">
      <c r="S101" s="48"/>
      <c r="T101" s="48"/>
      <c r="U101" s="48"/>
      <c r="V101" s="48"/>
      <c r="W101" s="48"/>
      <c r="AC101" s="42" t="s">
        <v>163</v>
      </c>
      <c r="AD101" s="43" t="s">
        <v>361</v>
      </c>
    </row>
    <row r="102" spans="19:44">
      <c r="S102" s="48"/>
      <c r="T102" s="48"/>
      <c r="U102" s="48"/>
      <c r="V102" s="48"/>
      <c r="W102" s="48"/>
      <c r="AC102" s="42" t="s">
        <v>358</v>
      </c>
      <c r="AD102" s="43" t="s">
        <v>362</v>
      </c>
    </row>
    <row r="103" spans="19:44">
      <c r="S103" s="48"/>
      <c r="T103" s="48"/>
      <c r="U103" s="48"/>
      <c r="V103" s="48"/>
      <c r="W103" s="48"/>
      <c r="AC103" s="42" t="s">
        <v>164</v>
      </c>
      <c r="AD103" s="277" t="s">
        <v>363</v>
      </c>
    </row>
    <row r="104" spans="19:44">
      <c r="S104" s="48"/>
      <c r="T104" s="48"/>
      <c r="U104" s="48"/>
      <c r="V104" s="48"/>
      <c r="W104" s="48"/>
      <c r="AC104" s="42" t="s">
        <v>359</v>
      </c>
      <c r="AD104" s="43" t="s">
        <v>364</v>
      </c>
    </row>
    <row r="105" spans="19:44">
      <c r="S105" s="48"/>
      <c r="T105" s="48"/>
      <c r="U105" s="48"/>
      <c r="V105" s="48"/>
      <c r="W105" s="48"/>
    </row>
    <row r="106" spans="19:44">
      <c r="S106" s="48"/>
      <c r="T106" s="48"/>
      <c r="U106" s="48"/>
      <c r="V106" s="48"/>
      <c r="W106" s="48"/>
    </row>
    <row r="107" spans="19:44">
      <c r="S107" s="48"/>
      <c r="T107" s="48"/>
      <c r="U107" s="48"/>
      <c r="V107" s="48"/>
      <c r="W107" s="48"/>
    </row>
  </sheetData>
  <sheetProtection formatCells="0" formatColumns="0" formatRows="0" insertColumns="0" insertRows="0" insertHyperlinks="0" deleteColumns="0" deleteRows="0" sort="0" autoFilter="0" pivotTables="0"/>
  <mergeCells count="129">
    <mergeCell ref="Q88:Q90"/>
    <mergeCell ref="R88:X90"/>
    <mergeCell ref="Q60:Q62"/>
    <mergeCell ref="R60:X62"/>
    <mergeCell ref="Q66:Q68"/>
    <mergeCell ref="R66:X68"/>
    <mergeCell ref="AD36:AK36"/>
    <mergeCell ref="AC25:AC29"/>
    <mergeCell ref="AC31:AC32"/>
    <mergeCell ref="R57:X59"/>
    <mergeCell ref="Q79:Q81"/>
    <mergeCell ref="R79:X81"/>
    <mergeCell ref="Q82:Q84"/>
    <mergeCell ref="R82:X84"/>
    <mergeCell ref="Q85:Q87"/>
    <mergeCell ref="R85:X87"/>
    <mergeCell ref="Q15:Q20"/>
    <mergeCell ref="AD15:AK20"/>
    <mergeCell ref="AC15:AC20"/>
    <mergeCell ref="Q2:S2"/>
    <mergeCell ref="Q55:X55"/>
    <mergeCell ref="Q63:Q65"/>
    <mergeCell ref="R63:X65"/>
    <mergeCell ref="Q69:Q71"/>
    <mergeCell ref="R69:X71"/>
    <mergeCell ref="R25:R27"/>
    <mergeCell ref="AD23:AK23"/>
    <mergeCell ref="AD25:AK29"/>
    <mergeCell ref="AC48:AC49"/>
    <mergeCell ref="AD48:AK49"/>
    <mergeCell ref="AD39:AK40"/>
    <mergeCell ref="AD41:AK42"/>
    <mergeCell ref="AD43:AK44"/>
    <mergeCell ref="AD45:AK46"/>
    <mergeCell ref="AC39:AC40"/>
    <mergeCell ref="AC41:AC42"/>
    <mergeCell ref="AC43:AC44"/>
    <mergeCell ref="AC45:AC46"/>
    <mergeCell ref="AD34:AK34"/>
    <mergeCell ref="AD31:AK32"/>
    <mergeCell ref="B22:C22"/>
    <mergeCell ref="B42:D42"/>
    <mergeCell ref="B19:C19"/>
    <mergeCell ref="B20:C20"/>
    <mergeCell ref="A50:A52"/>
    <mergeCell ref="B6:C6"/>
    <mergeCell ref="B7:C7"/>
    <mergeCell ref="A5:A22"/>
    <mergeCell ref="B14:C14"/>
    <mergeCell ref="B16:C16"/>
    <mergeCell ref="B18:C18"/>
    <mergeCell ref="B15:C15"/>
    <mergeCell ref="B17:C17"/>
    <mergeCell ref="B21:C21"/>
    <mergeCell ref="B10:C10"/>
    <mergeCell ref="B11:C11"/>
    <mergeCell ref="B13:C13"/>
    <mergeCell ref="B9:C9"/>
    <mergeCell ref="B12:C12"/>
    <mergeCell ref="B8:C8"/>
    <mergeCell ref="B5:C5"/>
    <mergeCell ref="A29:A42"/>
    <mergeCell ref="O10:O11"/>
    <mergeCell ref="K21:N21"/>
    <mergeCell ref="J24:J25"/>
    <mergeCell ref="K24:K25"/>
    <mergeCell ref="L24:L25"/>
    <mergeCell ref="M24:M25"/>
    <mergeCell ref="N24:O25"/>
    <mergeCell ref="M43:O43"/>
    <mergeCell ref="J43:L43"/>
    <mergeCell ref="M10:M11"/>
    <mergeCell ref="N10:N11"/>
    <mergeCell ref="K10:K11"/>
    <mergeCell ref="J10:J11"/>
    <mergeCell ref="L10:L11"/>
    <mergeCell ref="AI91:AI92"/>
    <mergeCell ref="AJ91:AJ92"/>
    <mergeCell ref="AK91:AK92"/>
    <mergeCell ref="AC91:AC92"/>
    <mergeCell ref="AD91:AD92"/>
    <mergeCell ref="AE91:AE92"/>
    <mergeCell ref="AF91:AF92"/>
    <mergeCell ref="AG91:AG92"/>
    <mergeCell ref="AH91:AH92"/>
    <mergeCell ref="F58:H58"/>
    <mergeCell ref="A60:A66"/>
    <mergeCell ref="B68:C68"/>
    <mergeCell ref="B69:C69"/>
    <mergeCell ref="Q25:Q29"/>
    <mergeCell ref="Q31:Q32"/>
    <mergeCell ref="Q36:Q37"/>
    <mergeCell ref="Q39:Q40"/>
    <mergeCell ref="Q41:Q42"/>
    <mergeCell ref="B73:C73"/>
    <mergeCell ref="A68:A73"/>
    <mergeCell ref="Q45:Q46"/>
    <mergeCell ref="Q48:Q49"/>
    <mergeCell ref="B72:C72"/>
    <mergeCell ref="A54:A57"/>
    <mergeCell ref="B71:C71"/>
    <mergeCell ref="Q43:Q44"/>
    <mergeCell ref="B70:C70"/>
    <mergeCell ref="F37:H37"/>
    <mergeCell ref="Q57:Q59"/>
    <mergeCell ref="T1:U1"/>
    <mergeCell ref="V1:W1"/>
    <mergeCell ref="X1:AK1"/>
    <mergeCell ref="AC65:AJ77"/>
    <mergeCell ref="AC63:AJ63"/>
    <mergeCell ref="AC53:AC55"/>
    <mergeCell ref="AC56:AC58"/>
    <mergeCell ref="AC59:AC61"/>
    <mergeCell ref="AC51:AK51"/>
    <mergeCell ref="AD53:AJ55"/>
    <mergeCell ref="AD56:AJ58"/>
    <mergeCell ref="AD59:AJ61"/>
    <mergeCell ref="AC2:AK2"/>
    <mergeCell ref="AC5:AC6"/>
    <mergeCell ref="AC9:AC13"/>
    <mergeCell ref="Z2:AA2"/>
    <mergeCell ref="Q74:X74"/>
    <mergeCell ref="Q76:Q78"/>
    <mergeCell ref="R76:X78"/>
    <mergeCell ref="Q5:Q6"/>
    <mergeCell ref="Q9:Q13"/>
    <mergeCell ref="AD5:AK6"/>
    <mergeCell ref="AD9:AK13"/>
    <mergeCell ref="AD22:AK22"/>
  </mergeCells>
  <phoneticPr fontId="10" type="noConversion"/>
  <dataValidations count="30">
    <dataValidation type="whole" allowBlank="1" showInputMessage="1" showErrorMessage="1" sqref="X48:X49" xr:uid="{248A0649-CCE4-4691-9510-751FD827C252}">
      <formula1>0</formula1>
      <formula2>5</formula2>
    </dataValidation>
    <dataValidation type="whole" allowBlank="1" showInputMessage="1" showErrorMessage="1" sqref="Z20" xr:uid="{F4375638-95D0-461B-A8EF-8EB220E3A006}">
      <formula1>0</formula1>
      <formula2>10</formula2>
    </dataValidation>
    <dataValidation type="whole" allowBlank="1" showInputMessage="1" showErrorMessage="1" sqref="Y23" xr:uid="{E1AF1090-2653-4422-B090-B36DB3DB52D3}">
      <formula1>0</formula1>
      <formula2>100</formula2>
    </dataValidation>
    <dataValidation type="whole" allowBlank="1" showInputMessage="1" showErrorMessage="1" sqref="X29 X17 X19 T19 V19" xr:uid="{F88E3B78-903D-45B8-98EC-69F6800855B7}">
      <formula1>0</formula1>
      <formula2>2</formula2>
    </dataValidation>
    <dataValidation type="whole" allowBlank="1" showInputMessage="1" showErrorMessage="1" sqref="X18 X8 X14 Z15:Z16 X21:X28 T18 V18" xr:uid="{31EF3351-CAC1-4E83-B3F3-E6ECE28CDE1D}">
      <formula1>0</formula1>
      <formula2>1</formula2>
    </dataValidation>
    <dataValidation type="list" allowBlank="1" showInputMessage="1" showErrorMessage="1" sqref="O22" xr:uid="{580D02C4-D4AA-48F9-9431-3D060FCD8041}">
      <formula1>취약계층고용</formula1>
    </dataValidation>
    <dataValidation type="whole" allowBlank="1" showInputMessage="1" showErrorMessage="1" promptTitle="측정" prompt="있으면 1점, 없으면 0점 또는 빈칸" sqref="X5:X6 X9:X13 T5:T6 T9:T13 T25:T27 T37 V5:V6 V9:V13 V25:V27 V37" xr:uid="{249EC800-2475-4D59-B75D-44F28529121C}">
      <formula1>0</formula1>
      <formula2>1</formula2>
    </dataValidation>
    <dataValidation type="whole" allowBlank="1" showInputMessage="1" showErrorMessage="1" promptTitle="점수" prompt="0~10점사이 부여" sqref="X20 T20 V20" xr:uid="{F21AA8E2-3F0D-480F-99AE-8C9065030574}">
      <formula1>0</formula1>
      <formula2>10</formula2>
    </dataValidation>
    <dataValidation allowBlank="1" showInputMessage="1" showErrorMessage="1" promptTitle="표기" prompt="공유했으면 1 _x000a_공유안했으면 0" sqref="O10:O19" xr:uid="{81247F6F-3CF6-4703-9735-0C0AA256A391}"/>
    <dataValidation allowBlank="1" showInputMessage="1" showErrorMessage="1" promptTitle="아닐경우 지우고 입력" sqref="D24" xr:uid="{702063B7-3484-4B1A-A7C7-3EF87166A5CB}"/>
    <dataValidation type="textLength" errorStyle="information" allowBlank="1" showInputMessage="1" showErrorMessage="1" error="글이 너무 깁니다. 80자 내외로 작성해주세요" sqref="AD5:AK6" xr:uid="{EC57E347-5832-4192-9AE1-13095813FE48}">
      <formula1>0</formula1>
      <formula2>80</formula2>
    </dataValidation>
    <dataValidation type="whole" allowBlank="1" showInputMessage="1" showErrorMessage="1" promptTitle="점수" prompt="0~5점 사이 부여" sqref="T48:T49 V48:V49" xr:uid="{4F4E802D-699C-40FC-AA3C-CA9708E13F40}">
      <formula1>0</formula1>
      <formula2>5</formula2>
    </dataValidation>
    <dataValidation type="whole" allowBlank="1" showInputMessage="1" showErrorMessage="1" promptTitle="측정" prompt="동종업종 비교표_x000a_60%이상 : 3점_x000a_60%미만 : 2점_x000a_20%미만 : 1점" sqref="T43 T45 V43 V45" xr:uid="{A2821BC4-D890-423C-84FD-30E7E33CBDEE}">
      <formula1>0</formula1>
      <formula2>3</formula2>
    </dataValidation>
    <dataValidation type="decimal" allowBlank="1" showInputMessage="1" showErrorMessage="1" promptTitle="측정" prompt="동종업종 기준표_x000a_60% 이상 : 2점_x000a_60% 미만 : 1.5점_x000a_20% 미만 : 1점" sqref="T44 T46 V44 V46" xr:uid="{B4C00133-1F7F-4536-B611-F3FE1FC90895}">
      <formula1>1</formula1>
      <formula2>2</formula2>
    </dataValidation>
    <dataValidation type="whole" allowBlank="1" showInputMessage="1" showErrorMessage="1" promptTitle="측정" prompt="15시간 이상 : 4점_x000a_10시간 이상 : 3점_x000a_5시간 이상 : 2점_x000a_5시간 미만 : 1점_x000a_없음 : 0점" sqref="T36 V36" xr:uid="{6C54DE94-6622-4E50-8C8F-3E9608FECE11}">
      <formula1>0</formula1>
      <formula2>4</formula2>
    </dataValidation>
    <dataValidation type="whole" allowBlank="1" showInputMessage="1" showErrorMessage="1" promptTitle="측정" prompt="반기별 1회미만 0점_x000a_50%이상 : 2점_x000a_50%미만 : 1점" sqref="T32 V32" xr:uid="{128764F7-954F-4809-B62B-926E26A79C88}">
      <formula1>0</formula1>
      <formula2>2</formula2>
    </dataValidation>
    <dataValidation type="whole" allowBlank="1" showInputMessage="1" showErrorMessage="1" promptTitle="측정" prompt="반기별 1회미만 0점_x000a_60%이상 : 3점_x000a_60%미만 : 2점_x000a_40%미만 : 1점_x000a_" sqref="T31 V31" xr:uid="{678C7D20-DE83-4EE8-86DB-D9805D292219}">
      <formula1>0</formula1>
      <formula2>3</formula2>
    </dataValidation>
    <dataValidation type="whole" allowBlank="1" showInputMessage="1" showErrorMessage="1" promptTitle="측정" prompt="연2회 이상 : 2점_x000a_1회 이하 : 1점_x000a_없으면 : 0점" sqref="T29 V29" xr:uid="{B5BD180F-6C48-443E-8AF3-B8F0B7C9166C}">
      <formula1>0</formula1>
      <formula2>2</formula2>
    </dataValidation>
    <dataValidation type="whole" allowBlank="1" showInputMessage="1" showErrorMessage="1" promptTitle="측정" prompt="동종업종 중위값_x000a_0% 이하 : 0점_x000a_25%이하 : 1점_x000a_50% 이하 : 2점_x000a_75% 이하 : 3점_x000a_100% 이하 : 4점_x000a_100% 초과 : 5점" sqref="T28 V28" xr:uid="{EB53785F-15EA-42AD-95EA-67C0F608D955}">
      <formula1>0</formula1>
      <formula2>5</formula2>
    </dataValidation>
    <dataValidation type="whole" allowBlank="1" showInputMessage="1" showErrorMessage="1" promptTitle="측정" prompt="기관별 2회이상 실적만 인정_x000a_협력활동 없음 : 0점_x000a_1개 기관 : 1점_x000a_2개 기관 : 2점_x000a_3~4개 기관 : 3점_x000a_5~6개 기관 : 4점_x000a_7개 기관 이상 : 5점" sqref="T23 V23" xr:uid="{0DA0110F-481B-48AC-946D-9B75C59F159F}">
      <formula1>0</formula1>
      <formula2>5</formula2>
    </dataValidation>
    <dataValidation type="whole" allowBlank="1" showInputMessage="1" showErrorMessage="1" promptTitle="측정" prompt="기관별 2회이상 실적만 인정_x000a_협력활동 없음: 0점_x000a_1개 기관 : 1점_x000a_2개 기관 : 2점_x000a_3개 기관 : 3점_x000a_4개 기관 : 4점_x000a_5개 기관 이상 : 5점" sqref="T22 V22" xr:uid="{0E12512E-4DA5-4EFF-9EA5-DA8500B92C90}">
      <formula1>0</formula1>
      <formula2>5</formula2>
    </dataValidation>
    <dataValidation type="whole" allowBlank="1" showErrorMessage="1" sqref="T17 V17" xr:uid="{E4E7E63B-6D69-4FAD-995D-86F6CEF3A24A}">
      <formula1>0</formula1>
      <formula2>2</formula2>
    </dataValidation>
    <dataValidation type="whole" allowBlank="1" showInputMessage="1" showErrorMessage="1" promptTitle="측정" prompt="취약계층 임금 동종업종 중위값 이상 경우 1점,_x000a_중위값 미만 경우 0점" sqref="T16 V16" xr:uid="{91F979D3-C772-43C5-931F-8F840EA9ECE4}">
      <formula1>0</formula1>
      <formula2>1</formula2>
    </dataValidation>
    <dataValidation type="whole" allowBlank="1" showInputMessage="1" showErrorMessage="1" promptTitle="측정" prompt="취약계층 고용률 동종업종 중위값 이상 경우 1점, _x000a_중위값 미만 경우 0점" sqref="T15 V15" xr:uid="{BD2CF175-7F5E-4722-BCBD-368C054FB5FC}">
      <formula1>0</formula1>
      <formula2>1</formula2>
    </dataValidation>
    <dataValidation type="list" allowBlank="1" showInputMessage="1" showErrorMessage="1" promptTitle="측정" prompt="동종업종 비교표_x000a_80% 이상 : 8점_x000a_80% 미만 : 6.4점_x000a_60% 미만 : 4.8점_x000a_40% 미만 : 3.2점_x000a_20% 미만 : 1.6점" sqref="T34 V34" xr:uid="{67E1B43B-FD22-41B7-8E96-06014E89B6F3}">
      <formula1>$AP$91:$AP$95</formula1>
    </dataValidation>
    <dataValidation type="list" allowBlank="1" showInputMessage="1" showErrorMessage="1" promptTitle="측정" prompt="동종업종 비교표_x000a_80% 이상 : 6점_x000a_80% 미만 : 4.8점_x000a_60% 미만 : 3.6점_x000a_40% 미만 : 2.4점_x000a_20% 미만 : 1.2점_x000a_" sqref="T39 V39" xr:uid="{636FC138-03DB-4C7E-9402-FD0E07A9B5D8}">
      <formula1>$AQ$91:$AQ$95</formula1>
    </dataValidation>
    <dataValidation type="list" allowBlank="1" showInputMessage="1" showErrorMessage="1" promptTitle="측정" prompt="신규, 전년도 근로자 0명 : 2.5점_x000a_전년대비 증가 : 4점_x000a_전년과 동일 : 2.5점_x000a_전년대비 감소 : 1점_x000a_" sqref="T40 V40" xr:uid="{B3B016DB-1200-4B38-9A89-8092D773ECE3}">
      <formula1>$AQ$96:$AQ$98</formula1>
    </dataValidation>
    <dataValidation type="list" allowBlank="1" showInputMessage="1" showErrorMessage="1" promptTitle="측정" prompt="동종업종 비교표_x000a_80% 이상 : 6점_x000a_80% 미만 : 4.8점_x000a_60% 미만 : 3.6점_x000a_40% 미만 : 2.4점_x000a_20% 미만 : 1.2점" sqref="T41 V41" xr:uid="{6B948067-5EE4-4582-98FC-D97406260609}">
      <formula1>$AR$91:$AR$95</formula1>
    </dataValidation>
    <dataValidation type="list" allowBlank="1" showInputMessage="1" showErrorMessage="1" promptTitle="측정" prompt="신규, 전년도 매출액 0원 : 2점_x000a_60% 이상 : 4점_x000a_60% 미만 : 3점_x000a_40% 미만 : 2점_x000a_20% 미만 : 1점" sqref="T42 V42" xr:uid="{1A34506B-FB5C-40A9-9477-F2ECAC69A728}">
      <formula1>$AR$96:$AR$99</formula1>
    </dataValidation>
    <dataValidation type="whole" allowBlank="1" showInputMessage="1" showErrorMessage="1" prompt="협력기관 수를 _x000a_&quot;숫자만 기재&quot;_x000a_ex. 8개기업 ==&gt; 8" sqref="Y22" xr:uid="{C59AE95E-AE4C-45F3-BBB2-E15F6FE4D127}">
      <formula1>0</formula1>
      <formula2>100</formula2>
    </dataValidation>
  </dataValidations>
  <hyperlinks>
    <hyperlink ref="D7" r:id="rId1" xr:uid="{DB0BCC04-7324-4DD2-B946-3BD32E63E29C}"/>
    <hyperlink ref="D16" r:id="rId2" xr:uid="{F61EBC1B-FEFE-4CBB-9916-32EE8EB0AD69}"/>
  </hyperlinks>
  <pageMargins left="0.7" right="0.7" top="0.75" bottom="0.75" header="0.3" footer="0.3"/>
  <pageSetup paperSize="9" orientation="portrait" r:id="rId3"/>
  <ignoredErrors>
    <ignoredError sqref="Z28" formula="1"/>
    <ignoredError sqref="D24:D26" unlockedFormula="1"/>
  </ignoredErrors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 xr:uid="{443C25C0-15D7-4BF1-B73F-0D279782CD85}">
          <x14:formula1>
            <xm:f>선택!$E$3:$E$33</xm:f>
          </x14:formula1>
          <xm:sqref>D17</xm:sqref>
        </x14:dataValidation>
        <x14:dataValidation type="list" allowBlank="1" showInputMessage="1" showErrorMessage="1" xr:uid="{A7CD3D79-985D-4979-A599-2E24246FCAB3}">
          <x14:formula1>
            <xm:f>선택!$A$25:$A$42</xm:f>
          </x14:formula1>
          <xm:sqref>D20</xm:sqref>
        </x14:dataValidation>
        <x14:dataValidation type="list" allowBlank="1" showInputMessage="1" showErrorMessage="1" xr:uid="{B3C66D8D-9C07-4B27-8507-138AA02CB91F}">
          <x14:formula1>
            <xm:f>선택!$A$3:$A$9</xm:f>
          </x14:formula1>
          <xm:sqref>D21</xm:sqref>
        </x14:dataValidation>
        <x14:dataValidation type="list" allowBlank="1" showInputMessage="1" showErrorMessage="1" xr:uid="{63005489-BC8B-48B5-9EE1-A6EA4CE0B272}">
          <x14:formula1>
            <xm:f>선택!$A$12:$A$14</xm:f>
          </x14:formula1>
          <xm:sqref>D19</xm:sqref>
        </x14:dataValidation>
        <x14:dataValidation type="list" allowBlank="1" showInputMessage="1" showErrorMessage="1" xr:uid="{6ED82AF0-A5F1-4991-9824-CC62DD84BEE0}">
          <x14:formula1>
            <xm:f>선택!$G$3:$G$7</xm:f>
          </x14:formula1>
          <xm:sqref>C24:C48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2ACBA6-F8A1-4B08-8C92-F1E01076C71A}">
  <sheetPr codeName="Sheet2"/>
  <dimension ref="B4:AV48"/>
  <sheetViews>
    <sheetView view="pageLayout" zoomScale="85" zoomScaleNormal="70" zoomScalePageLayoutView="85" workbookViewId="0">
      <selection activeCell="AS34" sqref="AS34"/>
    </sheetView>
  </sheetViews>
  <sheetFormatPr baseColWidth="10" defaultColWidth="9" defaultRowHeight="13"/>
  <cols>
    <col min="1" max="1" width="4.796875" customWidth="1"/>
    <col min="11" max="11" width="7.796875" customWidth="1"/>
    <col min="12" max="12" width="3.3984375" customWidth="1"/>
    <col min="13" max="27" width="5.59765625" customWidth="1"/>
    <col min="28" max="28" width="4.796875" customWidth="1"/>
    <col min="29" max="29" width="4.19921875" customWidth="1"/>
    <col min="30" max="46" width="5" customWidth="1"/>
    <col min="47" max="47" width="4.3984375" customWidth="1"/>
    <col min="48" max="48" width="4" customWidth="1"/>
    <col min="49" max="49" width="4.3984375" customWidth="1"/>
    <col min="50" max="54" width="5" customWidth="1"/>
  </cols>
  <sheetData>
    <row r="4" spans="13:48" ht="18.75" customHeight="1">
      <c r="M4" s="683" t="str">
        <f>CONCATENATE(" 2025년 경기도 SVI측정 컨설팅 지원사업에 참여한 ", '측정자 입력파일'!$D$9,"의 SVI 모의측정결과는  [",'측정자 입력파일'!$Z$51,"] 등급 입니다. 이는 ",VLOOKUP('측정자 입력파일'!$Z$51,'측정자 입력파일'!AC100:AD104,2,0))</f>
        <v xml:space="preserve"> 2025년 경기도 SVI측정 컨설팅 지원사업에 참여한 갓피플주식회사의 SVI 모의측정결과는  [탁월] 등급 입니다. 이는 모든 사업영역에서 사회적가치 실현을 위한 체계적인 시스템을 갖추고 효과적인 활동이 이루어지고 있으며, 매우 높은 성과를 달성하고 있는 수준입니다</v>
      </c>
      <c r="N4" s="683"/>
      <c r="O4" s="683"/>
      <c r="P4" s="683"/>
      <c r="Q4" s="683"/>
      <c r="R4" s="683"/>
      <c r="S4" s="683"/>
      <c r="T4" s="683"/>
      <c r="U4" s="683"/>
      <c r="V4" s="683"/>
      <c r="W4" s="683"/>
      <c r="X4" s="683"/>
      <c r="Y4" s="683"/>
      <c r="Z4" s="683"/>
      <c r="AA4" s="683"/>
      <c r="AB4" s="683"/>
      <c r="AE4" s="683" t="str">
        <f>CONCATENATE(" 관점별 영역중 가장 달성율이 낮아 노력이 필요한 영역은 [ ",선택!X4," ] 입니다")</f>
        <v xml:space="preserve"> 관점별 영역중 가장 달성율이 낮아 노력이 필요한 영역은 [ 경제적 성과 ] 입니다</v>
      </c>
      <c r="AF4" s="683"/>
      <c r="AG4" s="683"/>
      <c r="AH4" s="683"/>
      <c r="AI4" s="683"/>
      <c r="AJ4" s="683"/>
      <c r="AK4" s="683"/>
      <c r="AL4" s="683"/>
      <c r="AM4" s="683"/>
      <c r="AN4" s="683"/>
      <c r="AO4" s="683"/>
      <c r="AP4" s="683"/>
      <c r="AQ4" s="683"/>
      <c r="AR4" s="683"/>
      <c r="AS4" s="683"/>
      <c r="AT4" s="683"/>
      <c r="AU4" s="684"/>
      <c r="AV4" s="684"/>
    </row>
    <row r="5" spans="13:48" ht="18.75" customHeight="1">
      <c r="M5" s="683"/>
      <c r="N5" s="683"/>
      <c r="O5" s="683"/>
      <c r="P5" s="683"/>
      <c r="Q5" s="683"/>
      <c r="R5" s="683"/>
      <c r="S5" s="683"/>
      <c r="T5" s="683"/>
      <c r="U5" s="683"/>
      <c r="V5" s="683"/>
      <c r="W5" s="683"/>
      <c r="X5" s="683"/>
      <c r="Y5" s="683"/>
      <c r="Z5" s="683"/>
      <c r="AA5" s="683"/>
      <c r="AB5" s="683"/>
      <c r="AC5" s="278"/>
      <c r="AD5" s="278"/>
      <c r="AE5" s="278"/>
      <c r="AF5" s="278"/>
      <c r="AG5" s="278"/>
      <c r="AH5" s="278"/>
      <c r="AI5" s="278"/>
      <c r="AJ5" s="278"/>
    </row>
    <row r="6" spans="13:48" ht="16.5" customHeight="1">
      <c r="M6" s="683"/>
      <c r="N6" s="683"/>
      <c r="O6" s="683"/>
      <c r="P6" s="683"/>
      <c r="Q6" s="683"/>
      <c r="R6" s="683"/>
      <c r="S6" s="683"/>
      <c r="T6" s="683"/>
      <c r="U6" s="683"/>
      <c r="V6" s="683"/>
      <c r="W6" s="683"/>
      <c r="X6" s="683"/>
      <c r="Y6" s="683"/>
      <c r="Z6" s="683"/>
      <c r="AA6" s="683"/>
      <c r="AB6" s="683"/>
      <c r="AC6" s="278"/>
      <c r="AD6" s="278"/>
      <c r="AE6" s="278"/>
      <c r="AF6" s="278"/>
      <c r="AG6" s="278"/>
      <c r="AH6" s="278"/>
      <c r="AI6" s="278"/>
      <c r="AJ6" s="278"/>
    </row>
    <row r="7" spans="13:48" ht="15" customHeight="1">
      <c r="M7" s="278"/>
      <c r="N7" s="278"/>
      <c r="O7" s="278"/>
      <c r="P7" s="278"/>
      <c r="Q7" s="278"/>
      <c r="R7" s="278"/>
      <c r="S7" s="278"/>
      <c r="T7" s="278"/>
      <c r="U7" s="278"/>
      <c r="V7" s="278"/>
      <c r="W7" s="278"/>
      <c r="X7" s="278"/>
      <c r="Y7" s="278"/>
      <c r="Z7" s="278"/>
      <c r="AA7" s="278"/>
      <c r="AB7" s="278"/>
    </row>
    <row r="8" spans="13:48" ht="15.75" customHeight="1"/>
    <row r="26" spans="13:28" ht="12.75" customHeight="1"/>
    <row r="27" spans="13:28" ht="12.75" customHeight="1">
      <c r="M27" s="683" t="str">
        <f>CONCATENATE('측정자 입력파일'!$D$9,"의 업종은 [ ",'측정자 입력파일'!D20," ]으로 24년 경기도 동종업종 점수보다 ",'측정자 입력파일'!AA59," 수준입니다. ")</f>
        <v xml:space="preserve">갓피플주식회사의 업종은 [ 사업시설 관리, 사업 지원 및 임대 서비스업(N) ]으로 24년 경기도 동종업종 점수보다 높은 수준입니다. </v>
      </c>
      <c r="N27" s="683"/>
      <c r="O27" s="683"/>
      <c r="P27" s="683"/>
      <c r="Q27" s="683"/>
      <c r="R27" s="683"/>
      <c r="S27" s="683"/>
      <c r="T27" s="683"/>
      <c r="U27" s="683"/>
      <c r="V27" s="683"/>
      <c r="W27" s="683"/>
      <c r="X27" s="683"/>
      <c r="Y27" s="683"/>
      <c r="Z27" s="683"/>
      <c r="AA27" s="683"/>
      <c r="AB27" s="683"/>
    </row>
    <row r="28" spans="13:28" ht="12.75" customHeight="1">
      <c r="M28" s="683"/>
      <c r="N28" s="683"/>
      <c r="O28" s="683"/>
      <c r="P28" s="683"/>
      <c r="Q28" s="683"/>
      <c r="R28" s="683"/>
      <c r="S28" s="683"/>
      <c r="T28" s="683"/>
      <c r="U28" s="683"/>
      <c r="V28" s="683"/>
      <c r="W28" s="683"/>
      <c r="X28" s="683"/>
      <c r="Y28" s="683"/>
      <c r="Z28" s="683"/>
      <c r="AA28" s="683"/>
      <c r="AB28" s="683"/>
    </row>
    <row r="29" spans="13:28" ht="12.75" customHeight="1">
      <c r="M29" s="683"/>
      <c r="N29" s="683"/>
      <c r="O29" s="683"/>
      <c r="P29" s="683"/>
      <c r="Q29" s="683"/>
      <c r="R29" s="683"/>
      <c r="S29" s="683"/>
      <c r="T29" s="683"/>
      <c r="U29" s="683"/>
      <c r="V29" s="683"/>
      <c r="W29" s="683"/>
      <c r="X29" s="683"/>
      <c r="Y29" s="683"/>
      <c r="Z29" s="683"/>
      <c r="AA29" s="683"/>
      <c r="AB29" s="683"/>
    </row>
    <row r="30" spans="13:28" ht="12.75" customHeight="1">
      <c r="M30" s="280"/>
      <c r="N30" s="280"/>
      <c r="O30" s="280"/>
      <c r="P30" s="280"/>
      <c r="Q30" s="280"/>
      <c r="R30" s="280"/>
      <c r="S30" s="280"/>
      <c r="T30" s="280"/>
      <c r="U30" s="280"/>
      <c r="V30" s="280"/>
      <c r="W30" s="280"/>
      <c r="X30" s="280"/>
      <c r="Y30" s="280"/>
      <c r="Z30" s="280"/>
      <c r="AA30" s="280"/>
      <c r="AB30" s="280"/>
    </row>
    <row r="37" spans="2:48" ht="18" customHeight="1"/>
    <row r="38" spans="2:48" ht="18" customHeight="1"/>
    <row r="39" spans="2:48" ht="18" customHeight="1"/>
    <row r="40" spans="2:48" ht="18" customHeight="1"/>
    <row r="41" spans="2:48" ht="18" customHeight="1"/>
    <row r="42" spans="2:48" ht="18" customHeight="1"/>
    <row r="43" spans="2:48" ht="18" customHeight="1"/>
    <row r="44" spans="2:48" ht="18" customHeight="1">
      <c r="C44" s="275"/>
      <c r="D44" s="275"/>
      <c r="E44" s="275"/>
      <c r="F44" s="275"/>
      <c r="G44" s="275"/>
      <c r="H44" s="275"/>
      <c r="I44" s="275"/>
      <c r="J44" s="275"/>
      <c r="K44" s="275"/>
      <c r="L44" s="275"/>
      <c r="M44" s="275"/>
      <c r="N44" s="275"/>
      <c r="O44" s="275"/>
      <c r="P44" s="275"/>
      <c r="Q44" s="275"/>
      <c r="R44" s="275"/>
      <c r="S44" s="275"/>
      <c r="T44" s="275"/>
      <c r="U44" s="275"/>
      <c r="V44" s="275"/>
      <c r="W44" s="275"/>
      <c r="X44" s="275"/>
    </row>
    <row r="45" spans="2:48" ht="18" customHeight="1"/>
    <row r="46" spans="2:48" ht="18" customHeight="1">
      <c r="B46" s="276" t="s">
        <v>356</v>
      </c>
    </row>
    <row r="47" spans="2:48" ht="18" customHeight="1">
      <c r="AE47" s="281"/>
      <c r="AF47" s="281"/>
      <c r="AG47" s="281"/>
      <c r="AH47" s="281"/>
      <c r="AI47" s="281"/>
      <c r="AJ47" s="281"/>
      <c r="AK47" s="281"/>
      <c r="AL47" s="281"/>
      <c r="AM47" s="281"/>
      <c r="AN47" s="281"/>
      <c r="AO47" s="281"/>
      <c r="AP47" s="281"/>
      <c r="AQ47" s="281"/>
      <c r="AR47" s="281"/>
      <c r="AS47" s="281"/>
      <c r="AT47" s="281"/>
      <c r="AU47" s="281"/>
      <c r="AV47" s="281"/>
    </row>
    <row r="48" spans="2:48" ht="18" customHeight="1">
      <c r="AE48" s="281"/>
      <c r="AF48" s="281"/>
      <c r="AG48" s="281"/>
      <c r="AH48" s="281"/>
      <c r="AI48" s="281"/>
      <c r="AJ48" s="281"/>
      <c r="AK48" s="281"/>
      <c r="AL48" s="281"/>
      <c r="AM48" s="281"/>
      <c r="AN48" s="281"/>
      <c r="AO48" s="281"/>
      <c r="AP48" s="281"/>
      <c r="AQ48" s="281"/>
      <c r="AR48" s="281"/>
      <c r="AS48" s="281"/>
      <c r="AT48" s="281"/>
      <c r="AU48" s="281"/>
      <c r="AV48" s="281"/>
    </row>
  </sheetData>
  <sheetProtection algorithmName="SHA-512" hashValue="VAoOmYTKaCR4EZyoE790jJfJbv7/KQ2JkWIgSkhNHyQD8GSkqigVJIHBHD6+hA+CtzUGU0kS9Zs6VRzz/wQA4w==" saltValue="+NdCc4nEYco2r1EWRUq9vw==" spinCount="100000" sheet="1" objects="1" scenarios="1"/>
  <mergeCells count="4">
    <mergeCell ref="M27:AB29"/>
    <mergeCell ref="AE4:AT4"/>
    <mergeCell ref="AU4:AV4"/>
    <mergeCell ref="M4:AB6"/>
  </mergeCells>
  <phoneticPr fontId="1" type="noConversion"/>
  <pageMargins left="0.7" right="0.7" top="0.75" bottom="0.75" header="0.3" footer="0.3"/>
  <pageSetup paperSize="9" orientation="portrait" r:id="rId1"/>
  <headerFooter>
    <oddHeader xml:space="preserve">&amp;C
&amp;G
</oddHeader>
  </headerFooter>
  <drawing r:id="rId2"/>
  <legacyDrawing r:id="rId3"/>
  <legacyDrawingHF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F4DEE3-AFA1-4E95-8279-7A72E2CB2902}">
  <sheetPr codeName="Sheet3">
    <tabColor rgb="FFFFC000"/>
  </sheetPr>
  <dimension ref="B1:FS66"/>
  <sheetViews>
    <sheetView view="pageLayout" zoomScale="70" zoomScaleNormal="60" zoomScalePageLayoutView="70" workbookViewId="0">
      <selection activeCell="B60" sqref="B60"/>
    </sheetView>
  </sheetViews>
  <sheetFormatPr baseColWidth="10" defaultColWidth="9" defaultRowHeight="17"/>
  <cols>
    <col min="1" max="11" width="8.3984375" customWidth="1"/>
    <col min="12" max="12" width="4.796875" customWidth="1"/>
    <col min="22" max="22" width="6.796875" customWidth="1"/>
    <col min="23" max="33" width="8.3984375" customWidth="1"/>
    <col min="34" max="50" width="5" customWidth="1"/>
    <col min="51" max="51" width="4.3984375" customWidth="1"/>
    <col min="52" max="52" width="4" customWidth="1"/>
    <col min="53" max="53" width="4.3984375" customWidth="1"/>
    <col min="54" max="64" width="8.3984375" customWidth="1"/>
    <col min="65" max="81" width="5" customWidth="1"/>
    <col min="82" max="82" width="4.3984375" customWidth="1"/>
    <col min="83" max="83" width="4" customWidth="1"/>
    <col min="84" max="84" width="4.3984375" customWidth="1"/>
    <col min="85" max="95" width="8.3984375" customWidth="1"/>
    <col min="96" max="112" width="5" customWidth="1"/>
    <col min="113" max="113" width="4.3984375" customWidth="1"/>
    <col min="114" max="114" width="4" customWidth="1"/>
    <col min="115" max="115" width="4.3984375" customWidth="1"/>
    <col min="116" max="116" width="3.19921875" style="10" customWidth="1"/>
    <col min="117" max="117" width="5.59765625" style="10" customWidth="1"/>
    <col min="118" max="118" width="9.3984375" style="10" customWidth="1"/>
    <col min="119" max="128" width="4.59765625" style="10" customWidth="1"/>
    <col min="129" max="129" width="6.3984375" style="10" customWidth="1"/>
    <col min="130" max="134" width="4.59765625" style="10" customWidth="1"/>
    <col min="135" max="135" width="2.19921875" style="10" customWidth="1"/>
    <col min="136" max="136" width="2.59765625" style="10" customWidth="1"/>
    <col min="137" max="137" width="5.59765625" style="10" customWidth="1"/>
    <col min="138" max="138" width="9.3984375" style="10" customWidth="1"/>
    <col min="139" max="154" width="4.796875" style="10" customWidth="1"/>
    <col min="155" max="155" width="1.3984375" style="10" customWidth="1"/>
    <col min="156" max="156" width="2" style="10" customWidth="1"/>
    <col min="157" max="157" width="5.59765625" style="10" customWidth="1"/>
    <col min="158" max="158" width="8.59765625" style="10" customWidth="1"/>
    <col min="159" max="174" width="4.796875" style="10" customWidth="1"/>
    <col min="175" max="175" width="2.59765625" style="10" customWidth="1"/>
  </cols>
  <sheetData>
    <row r="1" spans="2:175" ht="13.5" customHeight="1">
      <c r="DL1" s="8"/>
      <c r="DM1" s="8"/>
      <c r="DN1" s="8"/>
      <c r="DO1" s="8"/>
      <c r="DP1" s="8"/>
      <c r="DQ1" s="8"/>
      <c r="DR1" s="8"/>
      <c r="DS1" s="8"/>
      <c r="DT1" s="8"/>
      <c r="DU1" s="8"/>
      <c r="DV1" s="8"/>
      <c r="DW1" s="8"/>
      <c r="DX1" s="8"/>
      <c r="DY1" s="8"/>
      <c r="DZ1" s="8"/>
      <c r="EA1" s="8"/>
      <c r="EB1" s="8"/>
      <c r="EC1" s="8"/>
      <c r="ED1" s="8"/>
      <c r="EE1" s="8"/>
      <c r="EF1" s="8"/>
      <c r="EG1" s="8"/>
      <c r="EH1" s="8"/>
      <c r="EI1" s="8"/>
      <c r="EJ1" s="8"/>
      <c r="EK1" s="8"/>
      <c r="EL1" s="8"/>
      <c r="EM1" s="8"/>
      <c r="EN1" s="8"/>
      <c r="EO1" s="8"/>
      <c r="EP1" s="8"/>
      <c r="EQ1" s="8"/>
      <c r="ER1" s="8"/>
      <c r="ES1" s="8"/>
      <c r="ET1" s="8"/>
      <c r="EU1" s="8"/>
      <c r="EV1" s="8"/>
      <c r="EW1" s="8"/>
      <c r="EX1" s="8"/>
      <c r="EY1" s="8"/>
      <c r="EZ1" s="8"/>
      <c r="FA1" s="8"/>
      <c r="FB1" s="8"/>
      <c r="FC1" s="8"/>
      <c r="FD1" s="8"/>
      <c r="FE1" s="8"/>
      <c r="FF1" s="8"/>
      <c r="FG1" s="8"/>
      <c r="FH1" s="8"/>
      <c r="FI1" s="8"/>
      <c r="FJ1" s="8"/>
      <c r="FK1" s="8"/>
      <c r="FL1" s="8"/>
      <c r="FM1" s="8"/>
      <c r="FN1" s="8"/>
      <c r="FO1" s="8"/>
      <c r="FP1" s="8"/>
      <c r="FQ1" s="8"/>
      <c r="FR1" s="8"/>
      <c r="FS1" s="8"/>
    </row>
    <row r="2" spans="2:175" ht="13.5" customHeight="1">
      <c r="B2" s="685" t="str">
        <f>'측정자 입력파일'!D9</f>
        <v>갓피플주식회사</v>
      </c>
      <c r="C2" s="685"/>
      <c r="D2" s="685"/>
      <c r="E2" s="685"/>
      <c r="F2" s="685"/>
      <c r="G2" s="685"/>
      <c r="H2" s="685"/>
      <c r="I2" s="685"/>
      <c r="J2" s="685"/>
      <c r="X2" s="685" t="str">
        <f>'측정자 입력파일'!D9</f>
        <v>갓피플주식회사</v>
      </c>
      <c r="Y2" s="685"/>
      <c r="Z2" s="685"/>
      <c r="AA2" s="685"/>
      <c r="AB2" s="685"/>
      <c r="AC2" s="685"/>
      <c r="AD2" s="685"/>
      <c r="AE2" s="685"/>
      <c r="AF2" s="685"/>
      <c r="BC2" s="685" t="str">
        <f>'측정자 입력파일'!D9</f>
        <v>갓피플주식회사</v>
      </c>
      <c r="BD2" s="685"/>
      <c r="BE2" s="685"/>
      <c r="BF2" s="685"/>
      <c r="BG2" s="685"/>
      <c r="BH2" s="685"/>
      <c r="BI2" s="685"/>
      <c r="BJ2" s="685"/>
      <c r="BK2" s="685"/>
      <c r="CH2" s="685" t="str">
        <f>'측정자 입력파일'!D9</f>
        <v>갓피플주식회사</v>
      </c>
      <c r="CI2" s="685"/>
      <c r="CJ2" s="685"/>
      <c r="CK2" s="685"/>
      <c r="CL2" s="685"/>
      <c r="CM2" s="685"/>
      <c r="CN2" s="685"/>
      <c r="CO2" s="685"/>
      <c r="CP2" s="685"/>
      <c r="DL2" s="8"/>
      <c r="DM2" s="323"/>
      <c r="DN2" s="323"/>
      <c r="DO2" s="323"/>
      <c r="DP2" s="323"/>
      <c r="DQ2" s="323"/>
      <c r="DR2" s="323"/>
      <c r="DS2" s="323"/>
      <c r="DT2" s="323"/>
      <c r="DU2" s="323"/>
      <c r="DV2" s="322"/>
      <c r="DW2" s="322"/>
      <c r="DX2" s="322"/>
      <c r="DY2" s="322"/>
      <c r="DZ2" s="322"/>
      <c r="EA2" s="322"/>
      <c r="EB2" s="322"/>
      <c r="EC2" s="322"/>
      <c r="ED2" s="322"/>
      <c r="EE2" s="322"/>
      <c r="EF2" s="322"/>
      <c r="EY2" s="8"/>
      <c r="EZ2" s="8"/>
      <c r="FA2" s="8"/>
      <c r="FB2" s="8"/>
      <c r="FC2" s="8"/>
      <c r="FD2" s="8"/>
      <c r="FE2" s="8"/>
      <c r="FF2" s="8"/>
      <c r="FG2" s="8"/>
      <c r="FH2" s="8"/>
      <c r="FI2" s="8"/>
      <c r="FJ2" s="8"/>
      <c r="FK2" s="8"/>
      <c r="FL2" s="8"/>
      <c r="FM2" s="8"/>
      <c r="FN2" s="8"/>
      <c r="FO2" s="8"/>
      <c r="FP2" s="8"/>
      <c r="FQ2" s="8"/>
      <c r="FR2" s="8"/>
      <c r="FS2" s="8"/>
    </row>
    <row r="3" spans="2:175" ht="13.5" customHeight="1">
      <c r="B3" s="685"/>
      <c r="C3" s="685"/>
      <c r="D3" s="685"/>
      <c r="E3" s="685"/>
      <c r="F3" s="685"/>
      <c r="G3" s="685"/>
      <c r="H3" s="685"/>
      <c r="I3" s="685"/>
      <c r="J3" s="685"/>
      <c r="X3" s="685"/>
      <c r="Y3" s="685"/>
      <c r="Z3" s="685"/>
      <c r="AA3" s="685"/>
      <c r="AB3" s="685"/>
      <c r="AC3" s="685"/>
      <c r="AD3" s="685"/>
      <c r="AE3" s="685"/>
      <c r="AF3" s="685"/>
      <c r="BC3" s="685"/>
      <c r="BD3" s="685"/>
      <c r="BE3" s="685"/>
      <c r="BF3" s="685"/>
      <c r="BG3" s="685"/>
      <c r="BH3" s="685"/>
      <c r="BI3" s="685"/>
      <c r="BJ3" s="685"/>
      <c r="BK3" s="685"/>
      <c r="CH3" s="685"/>
      <c r="CI3" s="685"/>
      <c r="CJ3" s="685"/>
      <c r="CK3" s="685"/>
      <c r="CL3" s="685"/>
      <c r="CM3" s="685"/>
      <c r="CN3" s="685"/>
      <c r="CO3" s="685"/>
      <c r="CP3" s="685"/>
      <c r="DL3" s="8"/>
      <c r="DM3" s="322"/>
      <c r="DN3" s="322"/>
      <c r="DO3" s="322"/>
      <c r="DP3" s="322"/>
      <c r="DQ3" s="322"/>
      <c r="DR3" s="322"/>
      <c r="DS3" s="322"/>
      <c r="DT3" s="322"/>
      <c r="DU3" s="322"/>
      <c r="DV3" s="322"/>
      <c r="DW3" s="322"/>
      <c r="DX3" s="322"/>
      <c r="DY3" s="322"/>
      <c r="DZ3" s="322"/>
      <c r="EA3" s="322"/>
      <c r="EB3" s="322"/>
      <c r="EC3" s="322"/>
      <c r="ED3" s="322"/>
      <c r="EE3" s="322"/>
      <c r="EF3" s="322"/>
      <c r="EY3" s="8"/>
      <c r="EZ3" s="8"/>
      <c r="FA3" s="8"/>
      <c r="FB3" s="8"/>
      <c r="FC3" s="8"/>
      <c r="FD3" s="8"/>
      <c r="FE3" s="8"/>
      <c r="FF3" s="8"/>
      <c r="FG3" s="8"/>
      <c r="FH3" s="8"/>
      <c r="FI3" s="8"/>
      <c r="FJ3" s="8"/>
      <c r="FK3" s="8"/>
      <c r="FL3" s="8"/>
      <c r="FM3" s="8"/>
      <c r="FN3" s="8"/>
      <c r="FO3" s="8"/>
      <c r="FP3" s="8"/>
      <c r="FQ3" s="8"/>
      <c r="FR3" s="8"/>
      <c r="FS3" s="8"/>
    </row>
    <row r="4" spans="2:175" ht="13.5" customHeight="1" thickBot="1">
      <c r="B4" s="685"/>
      <c r="C4" s="685"/>
      <c r="D4" s="685"/>
      <c r="E4" s="685"/>
      <c r="F4" s="685"/>
      <c r="G4" s="685"/>
      <c r="H4" s="685"/>
      <c r="I4" s="685"/>
      <c r="J4" s="685"/>
      <c r="X4" s="685"/>
      <c r="Y4" s="685"/>
      <c r="Z4" s="685"/>
      <c r="AA4" s="685"/>
      <c r="AB4" s="685"/>
      <c r="AC4" s="685"/>
      <c r="AD4" s="685"/>
      <c r="AE4" s="685"/>
      <c r="AF4" s="685"/>
      <c r="AI4" s="298"/>
      <c r="AJ4" s="298"/>
      <c r="AK4" s="298"/>
      <c r="AL4" s="298"/>
      <c r="AM4" s="298"/>
      <c r="AN4" s="298"/>
      <c r="AO4" s="298"/>
      <c r="AP4" s="298"/>
      <c r="AQ4" s="298"/>
      <c r="AR4" s="298"/>
      <c r="AS4" s="298"/>
      <c r="AT4" s="298"/>
      <c r="AU4" s="298"/>
      <c r="AV4" s="298"/>
      <c r="AW4" s="298"/>
      <c r="AX4" s="298"/>
      <c r="AY4" s="298"/>
      <c r="AZ4" s="298"/>
      <c r="BC4" s="685"/>
      <c r="BD4" s="685"/>
      <c r="BE4" s="685"/>
      <c r="BF4" s="685"/>
      <c r="BG4" s="685"/>
      <c r="BH4" s="685"/>
      <c r="BI4" s="685"/>
      <c r="BJ4" s="685"/>
      <c r="BK4" s="685"/>
      <c r="BN4" s="298"/>
      <c r="BO4" s="298"/>
      <c r="BP4" s="298"/>
      <c r="BQ4" s="298"/>
      <c r="BR4" s="298"/>
      <c r="BS4" s="298"/>
      <c r="BT4" s="298"/>
      <c r="BU4" s="298"/>
      <c r="BV4" s="298"/>
      <c r="BW4" s="298"/>
      <c r="BX4" s="298"/>
      <c r="BY4" s="298"/>
      <c r="BZ4" s="298"/>
      <c r="CA4" s="298"/>
      <c r="CB4" s="298"/>
      <c r="CC4" s="298"/>
      <c r="CD4" s="298"/>
      <c r="CE4" s="298"/>
      <c r="CH4" s="685"/>
      <c r="CI4" s="685"/>
      <c r="CJ4" s="685"/>
      <c r="CK4" s="685"/>
      <c r="CL4" s="685"/>
      <c r="CM4" s="685"/>
      <c r="CN4" s="685"/>
      <c r="CO4" s="685"/>
      <c r="CP4" s="685"/>
      <c r="CS4" s="298"/>
      <c r="CT4" s="298"/>
      <c r="CU4" s="298"/>
      <c r="CV4" s="298"/>
      <c r="CW4" s="298"/>
      <c r="CX4" s="298"/>
      <c r="CY4" s="298"/>
      <c r="CZ4" s="298"/>
      <c r="DA4" s="298"/>
      <c r="DB4" s="298"/>
      <c r="DC4" s="298"/>
      <c r="DD4" s="298"/>
      <c r="DE4" s="298"/>
      <c r="DF4" s="298"/>
      <c r="DG4" s="298"/>
      <c r="DH4" s="298"/>
      <c r="DI4" s="298"/>
      <c r="DJ4" s="298"/>
      <c r="DL4" s="8"/>
      <c r="DM4" s="8"/>
      <c r="DN4" s="8"/>
      <c r="DO4" s="8"/>
      <c r="DP4" s="8"/>
      <c r="DQ4" s="8"/>
      <c r="DR4" s="8"/>
      <c r="DS4" s="8"/>
      <c r="DT4" s="8"/>
      <c r="DU4" s="8"/>
      <c r="DV4" s="8"/>
      <c r="DW4" s="8"/>
      <c r="DX4" s="8"/>
      <c r="DY4" s="8"/>
      <c r="DZ4" s="8"/>
      <c r="EA4" s="8"/>
      <c r="EB4" s="8"/>
      <c r="EC4" s="8"/>
      <c r="ED4" s="8"/>
      <c r="EE4" s="8"/>
      <c r="EF4" s="8"/>
      <c r="EY4" s="8"/>
      <c r="EZ4" s="8"/>
      <c r="FA4" s="8"/>
      <c r="FB4" s="8"/>
      <c r="FC4" s="8"/>
      <c r="FD4" s="8"/>
      <c r="FE4" s="8"/>
      <c r="FF4" s="8"/>
      <c r="FG4" s="8"/>
      <c r="FH4" s="8"/>
      <c r="FI4" s="8"/>
      <c r="FJ4" s="8"/>
      <c r="FK4" s="8"/>
      <c r="FL4" s="8"/>
      <c r="FM4" s="8"/>
      <c r="FN4" s="8"/>
      <c r="FO4" s="8"/>
      <c r="FP4" s="8"/>
      <c r="FQ4" s="8"/>
      <c r="FR4" s="8"/>
      <c r="FS4" s="8"/>
    </row>
    <row r="5" spans="2:175" ht="13.5" customHeight="1" thickBot="1">
      <c r="B5" s="685"/>
      <c r="C5" s="685"/>
      <c r="D5" s="685"/>
      <c r="E5" s="685"/>
      <c r="F5" s="685"/>
      <c r="G5" s="685"/>
      <c r="H5" s="685"/>
      <c r="I5" s="685"/>
      <c r="J5" s="685"/>
      <c r="X5" s="685"/>
      <c r="Y5" s="685"/>
      <c r="Z5" s="685"/>
      <c r="AA5" s="685"/>
      <c r="AB5" s="685"/>
      <c r="AC5" s="685"/>
      <c r="AD5" s="685"/>
      <c r="AE5" s="685"/>
      <c r="AF5" s="685"/>
      <c r="AH5" s="278"/>
      <c r="AI5" s="278"/>
      <c r="AJ5" s="278"/>
      <c r="AK5" s="278"/>
      <c r="AL5" s="278"/>
      <c r="AM5" s="278"/>
      <c r="AN5" s="278"/>
      <c r="BC5" s="685"/>
      <c r="BD5" s="685"/>
      <c r="BE5" s="685"/>
      <c r="BF5" s="685"/>
      <c r="BG5" s="685"/>
      <c r="BH5" s="685"/>
      <c r="BI5" s="685"/>
      <c r="BJ5" s="685"/>
      <c r="BK5" s="685"/>
      <c r="BM5" s="278"/>
      <c r="BN5" s="278"/>
      <c r="BO5" s="278"/>
      <c r="BP5" s="278"/>
      <c r="BQ5" s="278"/>
      <c r="BR5" s="278"/>
      <c r="BS5" s="278"/>
      <c r="CH5" s="685"/>
      <c r="CI5" s="685"/>
      <c r="CJ5" s="685"/>
      <c r="CK5" s="685"/>
      <c r="CL5" s="685"/>
      <c r="CM5" s="685"/>
      <c r="CN5" s="685"/>
      <c r="CO5" s="685"/>
      <c r="CP5" s="685"/>
      <c r="CR5" s="278"/>
      <c r="CS5" s="278"/>
      <c r="CT5" s="278"/>
      <c r="CU5" s="278"/>
      <c r="CV5" s="278"/>
      <c r="CW5" s="278"/>
      <c r="CX5" s="278"/>
      <c r="DL5" s="8"/>
      <c r="DM5" s="687" t="s">
        <v>49</v>
      </c>
      <c r="DN5" s="688"/>
      <c r="DO5" s="360" t="s">
        <v>50</v>
      </c>
      <c r="DP5" s="361"/>
      <c r="DQ5" s="361"/>
      <c r="DR5" s="361"/>
      <c r="DS5" s="361"/>
      <c r="DT5" s="361"/>
      <c r="DU5" s="361"/>
      <c r="DV5" s="361"/>
      <c r="DW5" s="361"/>
      <c r="DX5" s="361"/>
      <c r="DY5" s="361"/>
      <c r="DZ5" s="361"/>
      <c r="EA5" s="361"/>
      <c r="EB5" s="361"/>
      <c r="EC5" s="11">
        <f>'측정자 입력파일'!AA5</f>
        <v>2</v>
      </c>
      <c r="ED5" s="12"/>
      <c r="EE5" s="8"/>
      <c r="EF5" s="8"/>
      <c r="EG5" s="687" t="s">
        <v>55</v>
      </c>
      <c r="EH5" s="688"/>
      <c r="EI5" s="371" t="s">
        <v>56</v>
      </c>
      <c r="EJ5" s="9"/>
      <c r="EK5" s="9"/>
      <c r="EL5" s="9"/>
      <c r="EM5" s="9"/>
      <c r="EN5" s="9"/>
      <c r="EO5" s="9"/>
      <c r="EP5" s="9"/>
      <c r="EQ5" s="9"/>
      <c r="ER5" s="9"/>
      <c r="ES5" s="9"/>
      <c r="ET5" s="9"/>
      <c r="EU5" s="9"/>
      <c r="EV5" s="9"/>
      <c r="EW5" s="325">
        <f>'측정자 입력파일'!AA25</f>
        <v>10</v>
      </c>
      <c r="EX5" s="326"/>
      <c r="EY5" s="8"/>
      <c r="EZ5" s="8"/>
      <c r="FA5" s="687" t="s">
        <v>101</v>
      </c>
      <c r="FB5" s="688"/>
      <c r="FC5" s="360" t="s">
        <v>102</v>
      </c>
      <c r="FD5" s="361"/>
      <c r="FE5" s="361"/>
      <c r="FF5" s="361"/>
      <c r="FG5" s="361"/>
      <c r="FH5" s="361"/>
      <c r="FI5" s="361"/>
      <c r="FJ5" s="361"/>
      <c r="FK5" s="361"/>
      <c r="FL5" s="361"/>
      <c r="FM5" s="361"/>
      <c r="FN5" s="361"/>
      <c r="FO5" s="361"/>
      <c r="FP5" s="369"/>
      <c r="FQ5" s="11">
        <f>'측정자 입력파일'!AA39</f>
        <v>7.3</v>
      </c>
      <c r="FR5" s="12"/>
      <c r="FS5" s="8"/>
    </row>
    <row r="6" spans="2:175" ht="13.5" customHeight="1">
      <c r="B6" s="685"/>
      <c r="C6" s="685"/>
      <c r="D6" s="685"/>
      <c r="E6" s="685"/>
      <c r="F6" s="685"/>
      <c r="G6" s="685"/>
      <c r="H6" s="685"/>
      <c r="I6" s="685"/>
      <c r="J6" s="685"/>
      <c r="X6" s="685"/>
      <c r="Y6" s="685"/>
      <c r="Z6" s="685"/>
      <c r="AA6" s="685"/>
      <c r="AB6" s="685"/>
      <c r="AC6" s="685"/>
      <c r="AD6" s="685"/>
      <c r="AE6" s="685"/>
      <c r="AF6" s="685"/>
      <c r="AH6" s="278"/>
      <c r="AI6" s="278"/>
      <c r="AJ6" s="278"/>
      <c r="AK6" s="278"/>
      <c r="AL6" s="278"/>
      <c r="AM6" s="278"/>
      <c r="AN6" s="278"/>
      <c r="BC6" s="685"/>
      <c r="BD6" s="685"/>
      <c r="BE6" s="685"/>
      <c r="BF6" s="685"/>
      <c r="BG6" s="685"/>
      <c r="BH6" s="685"/>
      <c r="BI6" s="685"/>
      <c r="BJ6" s="685"/>
      <c r="BK6" s="685"/>
      <c r="BM6" s="278"/>
      <c r="BN6" s="278"/>
      <c r="BO6" s="278"/>
      <c r="BP6" s="278"/>
      <c r="BQ6" s="278"/>
      <c r="BR6" s="278"/>
      <c r="BS6" s="278"/>
      <c r="CH6" s="685"/>
      <c r="CI6" s="685"/>
      <c r="CJ6" s="685"/>
      <c r="CK6" s="685"/>
      <c r="CL6" s="685"/>
      <c r="CM6" s="685"/>
      <c r="CN6" s="685"/>
      <c r="CO6" s="685"/>
      <c r="CP6" s="685"/>
      <c r="CR6" s="278"/>
      <c r="CS6" s="278"/>
      <c r="CT6" s="278"/>
      <c r="CU6" s="278"/>
      <c r="CV6" s="278"/>
      <c r="CW6" s="278"/>
      <c r="CX6" s="278"/>
      <c r="DL6" s="8"/>
      <c r="DM6" s="689"/>
      <c r="DN6" s="690"/>
      <c r="DO6" s="338" t="s">
        <v>446</v>
      </c>
      <c r="DP6" s="339"/>
      <c r="DQ6" s="339"/>
      <c r="DR6" s="339"/>
      <c r="DS6" s="339"/>
      <c r="DT6" s="339"/>
      <c r="DU6" s="339"/>
      <c r="DV6" s="339"/>
      <c r="DW6" s="339"/>
      <c r="DX6" s="339"/>
      <c r="DY6" s="339"/>
      <c r="DZ6" s="339"/>
      <c r="EA6" s="339"/>
      <c r="EB6" s="339"/>
      <c r="EC6" s="703" t="str">
        <f>IF('측정자 입력파일'!X5=1,"O","X")</f>
        <v>O</v>
      </c>
      <c r="ED6" s="704"/>
      <c r="EE6" s="8"/>
      <c r="EF6" s="8"/>
      <c r="EG6" s="689"/>
      <c r="EH6" s="690"/>
      <c r="EI6" s="707" t="s">
        <v>63</v>
      </c>
      <c r="EJ6" s="708"/>
      <c r="EK6" s="14" t="s">
        <v>65</v>
      </c>
      <c r="EL6" s="14"/>
      <c r="EM6" s="14"/>
      <c r="EN6" s="14"/>
      <c r="EO6" s="14"/>
      <c r="EP6" s="14"/>
      <c r="EQ6" s="14"/>
      <c r="ER6" s="14"/>
      <c r="ES6" s="14"/>
      <c r="ET6" s="14"/>
      <c r="EU6" s="491"/>
      <c r="EV6" s="491"/>
      <c r="EW6" s="492" t="str">
        <f>IF('측정자 입력파일'!Z25=1,"O","X")</f>
        <v>O</v>
      </c>
      <c r="EX6" s="493"/>
      <c r="EY6" s="8"/>
      <c r="EZ6" s="8"/>
      <c r="FA6" s="689"/>
      <c r="FB6" s="690"/>
      <c r="FC6" s="16" t="s">
        <v>435</v>
      </c>
      <c r="FD6" s="17"/>
      <c r="FE6" s="17"/>
      <c r="FF6" s="17"/>
      <c r="FG6" s="17"/>
      <c r="FH6" s="17"/>
      <c r="FI6" s="17"/>
      <c r="FJ6" s="17"/>
      <c r="FK6" s="17"/>
      <c r="FL6" s="17"/>
      <c r="FM6" s="17"/>
      <c r="FN6" s="17"/>
      <c r="FO6" s="352"/>
      <c r="FP6" s="353">
        <f>'측정자 입력파일'!Y39</f>
        <v>25</v>
      </c>
      <c r="FQ6" s="354"/>
      <c r="FR6" s="380"/>
      <c r="FS6" s="8"/>
    </row>
    <row r="7" spans="2:175" ht="13.5" customHeight="1">
      <c r="B7" s="685"/>
      <c r="C7" s="685"/>
      <c r="D7" s="685"/>
      <c r="E7" s="685"/>
      <c r="F7" s="685"/>
      <c r="G7" s="685"/>
      <c r="H7" s="685"/>
      <c r="I7" s="685"/>
      <c r="J7" s="685"/>
      <c r="X7" s="685"/>
      <c r="Y7" s="685"/>
      <c r="Z7" s="685"/>
      <c r="AA7" s="685"/>
      <c r="AB7" s="685"/>
      <c r="AC7" s="685"/>
      <c r="AD7" s="685"/>
      <c r="AE7" s="685"/>
      <c r="AF7" s="685"/>
      <c r="BC7" s="685"/>
      <c r="BD7" s="685"/>
      <c r="BE7" s="685"/>
      <c r="BF7" s="685"/>
      <c r="BG7" s="685"/>
      <c r="BH7" s="685"/>
      <c r="BI7" s="685"/>
      <c r="BJ7" s="685"/>
      <c r="BK7" s="685"/>
      <c r="CH7" s="685"/>
      <c r="CI7" s="685"/>
      <c r="CJ7" s="685"/>
      <c r="CK7" s="685"/>
      <c r="CL7" s="685"/>
      <c r="CM7" s="685"/>
      <c r="CN7" s="685"/>
      <c r="CO7" s="685"/>
      <c r="CP7" s="685"/>
      <c r="DL7" s="8"/>
      <c r="DM7" s="689"/>
      <c r="DN7" s="690"/>
      <c r="DO7" s="39" t="s">
        <v>447</v>
      </c>
      <c r="DP7" s="13"/>
      <c r="DQ7" s="13"/>
      <c r="DR7" s="13"/>
      <c r="DS7" s="13"/>
      <c r="DT7" s="13"/>
      <c r="DU7" s="13"/>
      <c r="DV7" s="13"/>
      <c r="DW7" s="13"/>
      <c r="DX7" s="13"/>
      <c r="DY7" s="13"/>
      <c r="DZ7" s="13"/>
      <c r="EA7" s="13"/>
      <c r="EB7" s="13"/>
      <c r="EC7" s="705" t="str">
        <f>IF('측정자 입력파일'!X6=1,"O","X")</f>
        <v>O</v>
      </c>
      <c r="ED7" s="706"/>
      <c r="EE7" s="8"/>
      <c r="EF7" s="8"/>
      <c r="EG7" s="689"/>
      <c r="EH7" s="690"/>
      <c r="EI7" s="709"/>
      <c r="EJ7" s="710"/>
      <c r="EK7" s="19" t="s">
        <v>71</v>
      </c>
      <c r="EL7" s="19"/>
      <c r="EM7" s="19"/>
      <c r="EN7" s="19"/>
      <c r="EO7" s="19"/>
      <c r="EP7" s="19"/>
      <c r="EQ7" s="19"/>
      <c r="ER7" s="19"/>
      <c r="ES7" s="19"/>
      <c r="ET7" s="19"/>
      <c r="EU7" s="494"/>
      <c r="EV7" s="494"/>
      <c r="EW7" s="495" t="str">
        <f>IF('측정자 입력파일'!Z26=1,"O","X")</f>
        <v>O</v>
      </c>
      <c r="EX7" s="496"/>
      <c r="EY7" s="8"/>
      <c r="EZ7" s="8"/>
      <c r="FA7" s="689"/>
      <c r="FB7" s="690"/>
      <c r="FC7" s="335" t="s">
        <v>109</v>
      </c>
      <c r="FD7" s="336"/>
      <c r="FE7" s="336"/>
      <c r="FF7" s="336"/>
      <c r="FG7" s="336"/>
      <c r="FH7" s="336"/>
      <c r="FI7" s="336"/>
      <c r="FJ7" s="336"/>
      <c r="FK7" s="336"/>
      <c r="FL7" s="336"/>
      <c r="FM7" s="336"/>
      <c r="FN7" s="336"/>
      <c r="FO7" s="355"/>
      <c r="FP7" s="356">
        <f>'측정자 입력파일'!AE97</f>
        <v>26</v>
      </c>
      <c r="FQ7" s="355"/>
      <c r="FR7" s="381"/>
      <c r="FS7" s="8"/>
    </row>
    <row r="8" spans="2:175" ht="13.5" customHeight="1" thickBot="1">
      <c r="B8" s="685"/>
      <c r="C8" s="685"/>
      <c r="D8" s="685"/>
      <c r="E8" s="685"/>
      <c r="F8" s="685"/>
      <c r="G8" s="685"/>
      <c r="H8" s="685"/>
      <c r="I8" s="685"/>
      <c r="J8" s="685"/>
      <c r="X8" s="685"/>
      <c r="Y8" s="685"/>
      <c r="Z8" s="685"/>
      <c r="AA8" s="685"/>
      <c r="AB8" s="685"/>
      <c r="AC8" s="685"/>
      <c r="AD8" s="685"/>
      <c r="AE8" s="685"/>
      <c r="AF8" s="685"/>
      <c r="BC8" s="685"/>
      <c r="BD8" s="685"/>
      <c r="BE8" s="685"/>
      <c r="BF8" s="685"/>
      <c r="BG8" s="685"/>
      <c r="BH8" s="685"/>
      <c r="BI8" s="685"/>
      <c r="BJ8" s="685"/>
      <c r="BK8" s="685"/>
      <c r="CH8" s="685"/>
      <c r="CI8" s="685"/>
      <c r="CJ8" s="685"/>
      <c r="CK8" s="685"/>
      <c r="CL8" s="685"/>
      <c r="CM8" s="685"/>
      <c r="CN8" s="685"/>
      <c r="CO8" s="685"/>
      <c r="CP8" s="685"/>
      <c r="DL8" s="8"/>
      <c r="DM8" s="691" t="s">
        <v>76</v>
      </c>
      <c r="DN8" s="692"/>
      <c r="DO8" s="697" t="str">
        <f>'측정자 입력파일'!AD5</f>
        <v>사회적 목적이 명시된 정관을 보유하고 있으며, 홈페이지를 통해 대외적으로 공표하고 있음</v>
      </c>
      <c r="DP8" s="697"/>
      <c r="DQ8" s="697"/>
      <c r="DR8" s="697"/>
      <c r="DS8" s="697"/>
      <c r="DT8" s="697"/>
      <c r="DU8" s="697"/>
      <c r="DV8" s="697"/>
      <c r="DW8" s="697"/>
      <c r="DX8" s="697"/>
      <c r="DY8" s="697"/>
      <c r="DZ8" s="697"/>
      <c r="EA8" s="697"/>
      <c r="EB8" s="697"/>
      <c r="EC8" s="697"/>
      <c r="ED8" s="698"/>
      <c r="EE8" s="8"/>
      <c r="EF8" s="8"/>
      <c r="EG8" s="689"/>
      <c r="EH8" s="690"/>
      <c r="EI8" s="711"/>
      <c r="EJ8" s="712"/>
      <c r="EK8" s="24" t="s">
        <v>82</v>
      </c>
      <c r="EL8" s="24"/>
      <c r="EM8" s="24"/>
      <c r="EN8" s="24"/>
      <c r="EO8" s="24"/>
      <c r="EP8" s="24"/>
      <c r="EQ8" s="24"/>
      <c r="ER8" s="24"/>
      <c r="ES8" s="24"/>
      <c r="ET8" s="24"/>
      <c r="EU8" s="497"/>
      <c r="EV8" s="497"/>
      <c r="EW8" s="498" t="str">
        <f>IF('측정자 입력파일'!Z27=1,"O","X")</f>
        <v>O</v>
      </c>
      <c r="EX8" s="499"/>
      <c r="EY8" s="8"/>
      <c r="EZ8" s="8"/>
      <c r="FA8" s="719"/>
      <c r="FB8" s="720"/>
      <c r="FC8" s="382" t="s">
        <v>436</v>
      </c>
      <c r="FD8" s="41"/>
      <c r="FE8" s="41"/>
      <c r="FF8" s="41"/>
      <c r="FG8" s="41"/>
      <c r="FH8" s="41"/>
      <c r="FI8" s="41"/>
      <c r="FJ8" s="41"/>
      <c r="FK8" s="41"/>
      <c r="FL8" s="41"/>
      <c r="FM8" s="41"/>
      <c r="FN8" s="41"/>
      <c r="FO8" s="383"/>
      <c r="FP8" s="490" t="str">
        <f>IF('측정자 입력파일'!D50='측정자 입력파일'!D51,"유지",IF('측정자 입력파일'!D50&lt;'측정자 입력파일'!D51,"전년대비 증가","전년대비 감소"))</f>
        <v>유지</v>
      </c>
      <c r="FQ8" s="385"/>
      <c r="FR8" s="386"/>
      <c r="FS8" s="8"/>
    </row>
    <row r="9" spans="2:175" ht="13.5" customHeight="1" thickBot="1">
      <c r="B9" s="685"/>
      <c r="C9" s="685"/>
      <c r="D9" s="685"/>
      <c r="E9" s="685"/>
      <c r="F9" s="685"/>
      <c r="G9" s="685"/>
      <c r="H9" s="685"/>
      <c r="I9" s="685"/>
      <c r="J9" s="685"/>
      <c r="X9" s="685"/>
      <c r="Y9" s="685"/>
      <c r="Z9" s="685"/>
      <c r="AA9" s="685"/>
      <c r="AB9" s="685"/>
      <c r="AC9" s="685"/>
      <c r="AD9" s="685"/>
      <c r="AE9" s="685"/>
      <c r="AF9" s="685"/>
      <c r="BC9" s="685"/>
      <c r="BD9" s="685"/>
      <c r="BE9" s="685"/>
      <c r="BF9" s="685"/>
      <c r="BG9" s="685"/>
      <c r="BH9" s="685"/>
      <c r="BI9" s="685"/>
      <c r="BJ9" s="685"/>
      <c r="BK9" s="685"/>
      <c r="CH9" s="685"/>
      <c r="CI9" s="685"/>
      <c r="CJ9" s="685"/>
      <c r="CK9" s="685"/>
      <c r="CL9" s="685"/>
      <c r="CM9" s="685"/>
      <c r="CN9" s="685"/>
      <c r="CO9" s="685"/>
      <c r="CP9" s="685"/>
      <c r="DL9" s="8"/>
      <c r="DM9" s="693"/>
      <c r="DN9" s="694"/>
      <c r="DO9" s="699"/>
      <c r="DP9" s="699"/>
      <c r="DQ9" s="699"/>
      <c r="DR9" s="699"/>
      <c r="DS9" s="699"/>
      <c r="DT9" s="699"/>
      <c r="DU9" s="699"/>
      <c r="DV9" s="699"/>
      <c r="DW9" s="699"/>
      <c r="DX9" s="699"/>
      <c r="DY9" s="699"/>
      <c r="DZ9" s="699"/>
      <c r="EA9" s="699"/>
      <c r="EB9" s="699"/>
      <c r="EC9" s="699"/>
      <c r="ED9" s="700"/>
      <c r="EE9" s="8"/>
      <c r="EF9" s="8"/>
      <c r="EG9" s="689"/>
      <c r="EH9" s="690"/>
      <c r="EI9" s="707" t="s">
        <v>80</v>
      </c>
      <c r="EJ9" s="708"/>
      <c r="EK9" s="338" t="s">
        <v>431</v>
      </c>
      <c r="EL9" s="339"/>
      <c r="EM9" s="339"/>
      <c r="EN9" s="339"/>
      <c r="EO9" s="339"/>
      <c r="EP9" s="339"/>
      <c r="EQ9" s="339"/>
      <c r="ER9" s="339"/>
      <c r="ES9" s="339"/>
      <c r="ET9" s="339"/>
      <c r="EU9" s="715">
        <f>'측정자 입력파일'!Y28</f>
        <v>42818140</v>
      </c>
      <c r="EV9" s="715"/>
      <c r="EW9" s="715"/>
      <c r="EX9" s="716"/>
      <c r="EY9" s="8"/>
      <c r="EZ9" s="8"/>
      <c r="FA9" s="8"/>
      <c r="FB9" s="8"/>
      <c r="FC9" s="8"/>
      <c r="FD9" s="8"/>
      <c r="FE9" s="8"/>
      <c r="FF9" s="8"/>
      <c r="FG9" s="8"/>
      <c r="FH9" s="8"/>
      <c r="FI9" s="8"/>
      <c r="FJ9" s="8"/>
      <c r="FK9" s="8"/>
      <c r="FL9" s="8"/>
      <c r="FM9" s="8"/>
      <c r="FN9" s="8"/>
      <c r="FO9" s="8"/>
      <c r="FP9" s="8"/>
      <c r="FQ9" s="8"/>
      <c r="FR9" s="8"/>
      <c r="FS9" s="8"/>
    </row>
    <row r="10" spans="2:175" ht="13.5" customHeight="1" thickBot="1">
      <c r="B10" s="685"/>
      <c r="C10" s="685"/>
      <c r="D10" s="685"/>
      <c r="E10" s="685"/>
      <c r="F10" s="685"/>
      <c r="G10" s="685"/>
      <c r="H10" s="685"/>
      <c r="I10" s="685"/>
      <c r="J10" s="685"/>
      <c r="X10" s="685"/>
      <c r="Y10" s="685"/>
      <c r="Z10" s="685"/>
      <c r="AA10" s="685"/>
      <c r="AB10" s="685"/>
      <c r="AC10" s="685"/>
      <c r="AD10" s="685"/>
      <c r="AE10" s="685"/>
      <c r="AF10" s="685"/>
      <c r="BC10" s="685"/>
      <c r="BD10" s="685"/>
      <c r="BE10" s="685"/>
      <c r="BF10" s="685"/>
      <c r="BG10" s="685"/>
      <c r="BH10" s="685"/>
      <c r="BI10" s="685"/>
      <c r="BJ10" s="685"/>
      <c r="BK10" s="685"/>
      <c r="CH10" s="685"/>
      <c r="CI10" s="685"/>
      <c r="CJ10" s="685"/>
      <c r="CK10" s="685"/>
      <c r="CL10" s="685"/>
      <c r="CM10" s="685"/>
      <c r="CN10" s="685"/>
      <c r="CO10" s="685"/>
      <c r="CP10" s="685"/>
      <c r="DL10" s="8"/>
      <c r="DM10" s="693"/>
      <c r="DN10" s="694"/>
      <c r="DO10" s="699"/>
      <c r="DP10" s="699"/>
      <c r="DQ10" s="699"/>
      <c r="DR10" s="699"/>
      <c r="DS10" s="699"/>
      <c r="DT10" s="699"/>
      <c r="DU10" s="699"/>
      <c r="DV10" s="699"/>
      <c r="DW10" s="699"/>
      <c r="DX10" s="699"/>
      <c r="DY10" s="699"/>
      <c r="DZ10" s="699"/>
      <c r="EA10" s="699"/>
      <c r="EB10" s="699"/>
      <c r="EC10" s="699"/>
      <c r="ED10" s="700"/>
      <c r="EE10" s="8"/>
      <c r="EF10" s="8"/>
      <c r="EG10" s="689"/>
      <c r="EH10" s="690"/>
      <c r="EI10" s="709"/>
      <c r="EJ10" s="710"/>
      <c r="EK10" s="340" t="s">
        <v>432</v>
      </c>
      <c r="EL10" s="341"/>
      <c r="EM10" s="341"/>
      <c r="EN10" s="341"/>
      <c r="EO10" s="341"/>
      <c r="EP10" s="341"/>
      <c r="EQ10" s="341"/>
      <c r="ER10" s="341"/>
      <c r="ES10" s="341"/>
      <c r="ET10" s="341"/>
      <c r="EU10" s="713">
        <f>'측정자 입력파일'!D73</f>
        <v>8879337</v>
      </c>
      <c r="EV10" s="713"/>
      <c r="EW10" s="713"/>
      <c r="EX10" s="714"/>
      <c r="EY10" s="8"/>
      <c r="EZ10" s="8"/>
      <c r="FA10" s="687" t="s">
        <v>117</v>
      </c>
      <c r="FB10" s="688"/>
      <c r="FC10" s="360" t="s">
        <v>118</v>
      </c>
      <c r="FD10" s="361"/>
      <c r="FE10" s="361"/>
      <c r="FF10" s="361"/>
      <c r="FG10" s="361"/>
      <c r="FH10" s="361"/>
      <c r="FI10" s="361"/>
      <c r="FJ10" s="361"/>
      <c r="FK10" s="361"/>
      <c r="FL10" s="361"/>
      <c r="FM10" s="361"/>
      <c r="FN10" s="361"/>
      <c r="FO10" s="361"/>
      <c r="FP10" s="369"/>
      <c r="FQ10" s="11">
        <f>'측정자 입력파일'!AA41</f>
        <v>6.8</v>
      </c>
      <c r="FR10" s="12"/>
      <c r="FS10" s="8"/>
    </row>
    <row r="11" spans="2:175" ht="13.5" customHeight="1" thickBot="1">
      <c r="B11" s="685"/>
      <c r="C11" s="685"/>
      <c r="D11" s="685"/>
      <c r="E11" s="685"/>
      <c r="F11" s="685"/>
      <c r="G11" s="685"/>
      <c r="H11" s="685"/>
      <c r="I11" s="685"/>
      <c r="J11" s="685"/>
      <c r="X11" s="685"/>
      <c r="Y11" s="685"/>
      <c r="Z11" s="685"/>
      <c r="AA11" s="685"/>
      <c r="AB11" s="685"/>
      <c r="AC11" s="685"/>
      <c r="AD11" s="685"/>
      <c r="AE11" s="685"/>
      <c r="AF11" s="685"/>
      <c r="BC11" s="685"/>
      <c r="BD11" s="685"/>
      <c r="BE11" s="685"/>
      <c r="BF11" s="685"/>
      <c r="BG11" s="685"/>
      <c r="BH11" s="685"/>
      <c r="BI11" s="685"/>
      <c r="BJ11" s="685"/>
      <c r="BK11" s="685"/>
      <c r="CH11" s="685"/>
      <c r="CI11" s="685"/>
      <c r="CJ11" s="685"/>
      <c r="CK11" s="685"/>
      <c r="CL11" s="685"/>
      <c r="CM11" s="685"/>
      <c r="CN11" s="685"/>
      <c r="CO11" s="685"/>
      <c r="CP11" s="685"/>
      <c r="DL11" s="8"/>
      <c r="DM11" s="695"/>
      <c r="DN11" s="696"/>
      <c r="DO11" s="701"/>
      <c r="DP11" s="701"/>
      <c r="DQ11" s="701"/>
      <c r="DR11" s="701"/>
      <c r="DS11" s="701"/>
      <c r="DT11" s="701"/>
      <c r="DU11" s="701"/>
      <c r="DV11" s="701"/>
      <c r="DW11" s="701"/>
      <c r="DX11" s="701"/>
      <c r="DY11" s="701"/>
      <c r="DZ11" s="701"/>
      <c r="EA11" s="701"/>
      <c r="EB11" s="701"/>
      <c r="EC11" s="701"/>
      <c r="ED11" s="702"/>
      <c r="EE11" s="8"/>
      <c r="EF11" s="8"/>
      <c r="EG11" s="689"/>
      <c r="EH11" s="690"/>
      <c r="EI11" s="709"/>
      <c r="EJ11" s="710"/>
      <c r="EK11" s="340" t="s">
        <v>433</v>
      </c>
      <c r="EL11" s="341"/>
      <c r="EM11" s="341"/>
      <c r="EN11" s="341"/>
      <c r="EO11" s="341"/>
      <c r="EP11" s="341"/>
      <c r="EQ11" s="341"/>
      <c r="ER11" s="341"/>
      <c r="ES11" s="341"/>
      <c r="ET11" s="341"/>
      <c r="EU11" s="500"/>
      <c r="EV11" s="717">
        <f>EU9/EU10</f>
        <v>4.8222226501821028</v>
      </c>
      <c r="EW11" s="717"/>
      <c r="EX11" s="718"/>
      <c r="EY11" s="8"/>
      <c r="EZ11" s="8"/>
      <c r="FA11" s="689"/>
      <c r="FB11" s="690"/>
      <c r="FC11" s="16" t="s">
        <v>437</v>
      </c>
      <c r="FD11" s="17"/>
      <c r="FE11" s="17"/>
      <c r="FF11" s="17"/>
      <c r="FG11" s="17"/>
      <c r="FH11" s="17"/>
      <c r="FI11" s="17"/>
      <c r="FJ11" s="17"/>
      <c r="FK11" s="17"/>
      <c r="FL11" s="17"/>
      <c r="FM11" s="17"/>
      <c r="FN11" s="17"/>
      <c r="FO11" s="357">
        <f>'측정자 입력파일'!Y41</f>
        <v>1281043104</v>
      </c>
      <c r="FP11" s="358"/>
      <c r="FQ11" s="354"/>
      <c r="FR11" s="380"/>
      <c r="FS11" s="8"/>
    </row>
    <row r="12" spans="2:175" ht="13.5" customHeight="1">
      <c r="B12" s="685"/>
      <c r="C12" s="685"/>
      <c r="D12" s="685"/>
      <c r="E12" s="685"/>
      <c r="F12" s="685"/>
      <c r="G12" s="685"/>
      <c r="H12" s="685"/>
      <c r="I12" s="685"/>
      <c r="J12" s="685"/>
      <c r="X12" s="685"/>
      <c r="Y12" s="685"/>
      <c r="Z12" s="685"/>
      <c r="AA12" s="685"/>
      <c r="AB12" s="685"/>
      <c r="AC12" s="685"/>
      <c r="AD12" s="685"/>
      <c r="AE12" s="685"/>
      <c r="AF12" s="685"/>
      <c r="BC12" s="685"/>
      <c r="BD12" s="685"/>
      <c r="BE12" s="685"/>
      <c r="BF12" s="685"/>
      <c r="BG12" s="685"/>
      <c r="BH12" s="685"/>
      <c r="BI12" s="685"/>
      <c r="BJ12" s="685"/>
      <c r="BK12" s="685"/>
      <c r="CH12" s="685"/>
      <c r="CI12" s="685"/>
      <c r="CJ12" s="685"/>
      <c r="CK12" s="685"/>
      <c r="CL12" s="685"/>
      <c r="CM12" s="685"/>
      <c r="CN12" s="685"/>
      <c r="CO12" s="685"/>
      <c r="CP12" s="685"/>
      <c r="DL12" s="8"/>
      <c r="EE12" s="8"/>
      <c r="EF12" s="8"/>
      <c r="EG12" s="689"/>
      <c r="EH12" s="690"/>
      <c r="EI12" s="711"/>
      <c r="EJ12" s="712"/>
      <c r="EK12" s="343" t="s">
        <v>430</v>
      </c>
      <c r="EL12" s="344"/>
      <c r="EM12" s="344"/>
      <c r="EN12" s="344"/>
      <c r="EO12" s="344"/>
      <c r="EP12" s="344"/>
      <c r="EQ12" s="344"/>
      <c r="ER12" s="344"/>
      <c r="ES12" s="344"/>
      <c r="ET12" s="344"/>
      <c r="EU12" s="344"/>
      <c r="EV12" s="344"/>
      <c r="EW12" s="345">
        <f>'측정자 입력파일'!Z28</f>
        <v>5</v>
      </c>
      <c r="EX12" s="373"/>
      <c r="EY12" s="8"/>
      <c r="EZ12" s="8"/>
      <c r="FA12" s="689"/>
      <c r="FB12" s="690"/>
      <c r="FC12" s="335" t="s">
        <v>123</v>
      </c>
      <c r="FD12" s="336"/>
      <c r="FE12" s="336"/>
      <c r="FF12" s="336"/>
      <c r="FG12" s="336"/>
      <c r="FH12" s="336"/>
      <c r="FI12" s="336"/>
      <c r="FJ12" s="336"/>
      <c r="FK12" s="336"/>
      <c r="FL12" s="336"/>
      <c r="FM12" s="336"/>
      <c r="FN12" s="336"/>
      <c r="FO12" s="355">
        <f>'측정자 입력파일'!AF97</f>
        <v>1291859616</v>
      </c>
      <c r="FP12" s="355"/>
      <c r="FQ12" s="355"/>
      <c r="FR12" s="381"/>
      <c r="FS12" s="8"/>
    </row>
    <row r="13" spans="2:175" ht="13.5" customHeight="1" thickBot="1">
      <c r="B13" s="685"/>
      <c r="C13" s="685"/>
      <c r="D13" s="685"/>
      <c r="E13" s="685"/>
      <c r="F13" s="685"/>
      <c r="G13" s="685"/>
      <c r="H13" s="685"/>
      <c r="I13" s="685"/>
      <c r="J13" s="685"/>
      <c r="X13" s="685"/>
      <c r="Y13" s="685"/>
      <c r="Z13" s="685"/>
      <c r="AA13" s="685"/>
      <c r="AB13" s="685"/>
      <c r="AC13" s="685"/>
      <c r="AD13" s="685"/>
      <c r="AE13" s="685"/>
      <c r="AF13" s="685"/>
      <c r="BC13" s="685"/>
      <c r="BD13" s="685"/>
      <c r="BE13" s="685"/>
      <c r="BF13" s="685"/>
      <c r="BG13" s="685"/>
      <c r="BH13" s="685"/>
      <c r="BI13" s="685"/>
      <c r="BJ13" s="685"/>
      <c r="BK13" s="685"/>
      <c r="CH13" s="685"/>
      <c r="CI13" s="685"/>
      <c r="CJ13" s="685"/>
      <c r="CK13" s="685"/>
      <c r="CL13" s="685"/>
      <c r="CM13" s="685"/>
      <c r="CN13" s="685"/>
      <c r="CO13" s="685"/>
      <c r="CP13" s="685"/>
      <c r="DL13" s="8"/>
      <c r="DM13" s="8"/>
      <c r="DN13" s="8"/>
      <c r="DO13" s="8"/>
      <c r="DP13" s="8"/>
      <c r="DQ13" s="8"/>
      <c r="DR13" s="8"/>
      <c r="DS13" s="8"/>
      <c r="DT13" s="8"/>
      <c r="DU13" s="8"/>
      <c r="DV13" s="8"/>
      <c r="DW13" s="8"/>
      <c r="DX13" s="8"/>
      <c r="DY13" s="8"/>
      <c r="DZ13" s="8"/>
      <c r="EA13" s="8"/>
      <c r="EB13" s="8"/>
      <c r="EC13" s="8"/>
      <c r="ED13" s="8"/>
      <c r="EE13" s="8"/>
      <c r="EF13" s="8"/>
      <c r="EG13" s="689"/>
      <c r="EH13" s="690"/>
      <c r="EI13" s="29" t="s">
        <v>84</v>
      </c>
      <c r="EJ13" s="23"/>
      <c r="EK13" s="13" t="s">
        <v>434</v>
      </c>
      <c r="EL13" s="13"/>
      <c r="EM13" s="13"/>
      <c r="EN13" s="13"/>
      <c r="EO13" s="13"/>
      <c r="EP13" s="13"/>
      <c r="EQ13" s="13"/>
      <c r="ER13" s="13"/>
      <c r="ES13" s="13"/>
      <c r="ET13" s="13"/>
      <c r="EU13" s="13"/>
      <c r="EV13" s="13"/>
      <c r="EW13" s="328">
        <f>'측정자 입력파일'!Z29</f>
        <v>2</v>
      </c>
      <c r="EX13" s="370"/>
      <c r="EY13" s="8"/>
      <c r="EZ13" s="8"/>
      <c r="FA13" s="719"/>
      <c r="FB13" s="720"/>
      <c r="FC13" s="382" t="s">
        <v>125</v>
      </c>
      <c r="FD13" s="41"/>
      <c r="FE13" s="41"/>
      <c r="FF13" s="41"/>
      <c r="FG13" s="41"/>
      <c r="FH13" s="41"/>
      <c r="FI13" s="41"/>
      <c r="FJ13" s="41"/>
      <c r="FK13" s="41"/>
      <c r="FL13" s="41"/>
      <c r="FM13" s="41"/>
      <c r="FN13" s="41"/>
      <c r="FO13" s="383"/>
      <c r="FP13" s="384">
        <f>'측정자 입력파일'!Y42</f>
        <v>-2.1575739380034788E-2</v>
      </c>
      <c r="FQ13" s="383"/>
      <c r="FR13" s="386"/>
      <c r="FS13" s="8"/>
    </row>
    <row r="14" spans="2:175" ht="13.5" customHeight="1" thickBot="1">
      <c r="B14" s="685"/>
      <c r="C14" s="685"/>
      <c r="D14" s="685"/>
      <c r="E14" s="685"/>
      <c r="F14" s="685"/>
      <c r="G14" s="685"/>
      <c r="H14" s="685"/>
      <c r="I14" s="685"/>
      <c r="J14" s="685"/>
      <c r="X14" s="685"/>
      <c r="Y14" s="685"/>
      <c r="Z14" s="685"/>
      <c r="AA14" s="685"/>
      <c r="AB14" s="685"/>
      <c r="AC14" s="685"/>
      <c r="AD14" s="685"/>
      <c r="AE14" s="685"/>
      <c r="AF14" s="685"/>
      <c r="BC14" s="685"/>
      <c r="BD14" s="685"/>
      <c r="BE14" s="685"/>
      <c r="BF14" s="685"/>
      <c r="BG14" s="685"/>
      <c r="BH14" s="685"/>
      <c r="BI14" s="685"/>
      <c r="BJ14" s="685"/>
      <c r="BK14" s="685"/>
      <c r="CH14" s="685"/>
      <c r="CI14" s="685"/>
      <c r="CJ14" s="685"/>
      <c r="CK14" s="685"/>
      <c r="CL14" s="685"/>
      <c r="CM14" s="685"/>
      <c r="CN14" s="685"/>
      <c r="CO14" s="685"/>
      <c r="CP14" s="685"/>
      <c r="DL14" s="8"/>
      <c r="DM14" s="687" t="s">
        <v>95</v>
      </c>
      <c r="DN14" s="688"/>
      <c r="DO14" s="360" t="s">
        <v>96</v>
      </c>
      <c r="DP14" s="361"/>
      <c r="DQ14" s="361"/>
      <c r="DR14" s="361"/>
      <c r="DS14" s="361"/>
      <c r="DT14" s="361"/>
      <c r="DU14" s="361"/>
      <c r="DV14" s="361"/>
      <c r="DW14" s="361"/>
      <c r="DX14" s="361"/>
      <c r="DY14" s="361"/>
      <c r="DZ14" s="361"/>
      <c r="EA14" s="361"/>
      <c r="EB14" s="361"/>
      <c r="EC14" s="11">
        <f>'보고서 데이터'!AN35</f>
        <v>5</v>
      </c>
      <c r="ED14" s="12"/>
      <c r="EE14" s="8"/>
      <c r="EF14" s="8"/>
      <c r="EG14" s="691" t="s">
        <v>76</v>
      </c>
      <c r="EH14" s="692"/>
      <c r="EI14" s="697" t="str">
        <f>'측정자 입력파일'!AD25</f>
        <v>기업 내외부 운영에 대한 사회적 환원 내용은 전반적으로 우수하며 현행을 잘 유지할 수 있도록 관리 요함</v>
      </c>
      <c r="EJ14" s="697"/>
      <c r="EK14" s="697"/>
      <c r="EL14" s="697"/>
      <c r="EM14" s="697"/>
      <c r="EN14" s="697"/>
      <c r="EO14" s="697"/>
      <c r="EP14" s="697"/>
      <c r="EQ14" s="697"/>
      <c r="ER14" s="697"/>
      <c r="ES14" s="697"/>
      <c r="ET14" s="697"/>
      <c r="EU14" s="697"/>
      <c r="EV14" s="697"/>
      <c r="EW14" s="697"/>
      <c r="EX14" s="698"/>
      <c r="EY14" s="8"/>
      <c r="EZ14" s="8"/>
      <c r="FA14" s="8"/>
      <c r="FB14" s="8"/>
      <c r="FC14" s="8"/>
      <c r="FD14" s="8"/>
      <c r="FE14" s="8"/>
      <c r="FF14" s="8"/>
      <c r="FG14" s="8"/>
      <c r="FH14" s="8"/>
      <c r="FI14" s="8"/>
      <c r="FJ14" s="8"/>
      <c r="FK14" s="8"/>
      <c r="FL14" s="8"/>
      <c r="FM14" s="8"/>
      <c r="FN14" s="8"/>
      <c r="FO14" s="8"/>
      <c r="FP14" s="8"/>
      <c r="FQ14" s="8"/>
      <c r="FR14" s="8"/>
      <c r="FS14" s="8"/>
    </row>
    <row r="15" spans="2:175" ht="13.5" customHeight="1" thickBot="1">
      <c r="B15" s="685"/>
      <c r="C15" s="685"/>
      <c r="D15" s="685"/>
      <c r="E15" s="685"/>
      <c r="F15" s="685"/>
      <c r="G15" s="685"/>
      <c r="H15" s="685"/>
      <c r="I15" s="685"/>
      <c r="J15" s="685"/>
      <c r="X15" s="685"/>
      <c r="Y15" s="685"/>
      <c r="Z15" s="685"/>
      <c r="AA15" s="685"/>
      <c r="AB15" s="685"/>
      <c r="AC15" s="685"/>
      <c r="AD15" s="685"/>
      <c r="AE15" s="685"/>
      <c r="AF15" s="685"/>
      <c r="BC15" s="685"/>
      <c r="BD15" s="685"/>
      <c r="BE15" s="685"/>
      <c r="BF15" s="685"/>
      <c r="BG15" s="685"/>
      <c r="BH15" s="685"/>
      <c r="BI15" s="685"/>
      <c r="BJ15" s="685"/>
      <c r="BK15" s="685"/>
      <c r="CH15" s="685"/>
      <c r="CI15" s="685"/>
      <c r="CJ15" s="685"/>
      <c r="CK15" s="685"/>
      <c r="CL15" s="685"/>
      <c r="CM15" s="685"/>
      <c r="CN15" s="685"/>
      <c r="CO15" s="685"/>
      <c r="CP15" s="685"/>
      <c r="DL15" s="8"/>
      <c r="DM15" s="689"/>
      <c r="DN15" s="690"/>
      <c r="DO15" s="32" t="s">
        <v>100</v>
      </c>
      <c r="DP15" s="14"/>
      <c r="DQ15" s="14"/>
      <c r="DR15" s="14"/>
      <c r="DS15" s="14"/>
      <c r="DT15" s="14"/>
      <c r="DU15" s="14"/>
      <c r="DV15" s="14"/>
      <c r="DW15" s="14"/>
      <c r="DX15" s="14"/>
      <c r="DY15" s="14"/>
      <c r="DZ15" s="14"/>
      <c r="EA15" s="14"/>
      <c r="EB15" s="14"/>
      <c r="EC15" s="15" t="str">
        <f>IF('측정자 입력파일'!X9=1,"O","X")</f>
        <v>O</v>
      </c>
      <c r="ED15" s="362"/>
      <c r="EE15" s="8"/>
      <c r="EF15" s="8"/>
      <c r="EG15" s="693"/>
      <c r="EH15" s="694"/>
      <c r="EI15" s="699"/>
      <c r="EJ15" s="699"/>
      <c r="EK15" s="699"/>
      <c r="EL15" s="699"/>
      <c r="EM15" s="699"/>
      <c r="EN15" s="699"/>
      <c r="EO15" s="699"/>
      <c r="EP15" s="699"/>
      <c r="EQ15" s="699"/>
      <c r="ER15" s="699"/>
      <c r="ES15" s="699"/>
      <c r="ET15" s="699"/>
      <c r="EU15" s="699"/>
      <c r="EV15" s="699"/>
      <c r="EW15" s="699"/>
      <c r="EX15" s="700"/>
      <c r="EY15" s="8"/>
      <c r="EZ15" s="8"/>
      <c r="FA15" s="687" t="s">
        <v>127</v>
      </c>
      <c r="FB15" s="688"/>
      <c r="FC15" s="360" t="s">
        <v>128</v>
      </c>
      <c r="FD15" s="361"/>
      <c r="FE15" s="361"/>
      <c r="FF15" s="361"/>
      <c r="FG15" s="361"/>
      <c r="FH15" s="361"/>
      <c r="FI15" s="361"/>
      <c r="FJ15" s="361"/>
      <c r="FK15" s="361"/>
      <c r="FL15" s="361"/>
      <c r="FM15" s="361"/>
      <c r="FN15" s="361"/>
      <c r="FO15" s="361"/>
      <c r="FP15" s="369"/>
      <c r="FQ15" s="11">
        <f>'측정자 입력파일'!AA43</f>
        <v>3.5</v>
      </c>
      <c r="FR15" s="12"/>
      <c r="FS15" s="8"/>
    </row>
    <row r="16" spans="2:175" ht="13.5" customHeight="1">
      <c r="B16" s="685"/>
      <c r="C16" s="685"/>
      <c r="D16" s="685"/>
      <c r="E16" s="685"/>
      <c r="F16" s="685"/>
      <c r="G16" s="685"/>
      <c r="H16" s="685"/>
      <c r="I16" s="685"/>
      <c r="J16" s="685"/>
      <c r="X16" s="685"/>
      <c r="Y16" s="685"/>
      <c r="Z16" s="685"/>
      <c r="AA16" s="685"/>
      <c r="AB16" s="685"/>
      <c r="AC16" s="685"/>
      <c r="AD16" s="685"/>
      <c r="AE16" s="685"/>
      <c r="AF16" s="685"/>
      <c r="BC16" s="685"/>
      <c r="BD16" s="685"/>
      <c r="BE16" s="685"/>
      <c r="BF16" s="685"/>
      <c r="BG16" s="685"/>
      <c r="BH16" s="685"/>
      <c r="BI16" s="685"/>
      <c r="BJ16" s="685"/>
      <c r="BK16" s="685"/>
      <c r="CH16" s="685"/>
      <c r="CI16" s="685"/>
      <c r="CJ16" s="685"/>
      <c r="CK16" s="685"/>
      <c r="CL16" s="685"/>
      <c r="CM16" s="685"/>
      <c r="CN16" s="685"/>
      <c r="CO16" s="685"/>
      <c r="CP16" s="685"/>
      <c r="DL16" s="8"/>
      <c r="DM16" s="689"/>
      <c r="DN16" s="690"/>
      <c r="DO16" s="35" t="s">
        <v>104</v>
      </c>
      <c r="DP16" s="19"/>
      <c r="DQ16" s="19"/>
      <c r="DR16" s="19"/>
      <c r="DS16" s="19"/>
      <c r="DT16" s="19"/>
      <c r="DU16" s="19"/>
      <c r="DV16" s="19"/>
      <c r="DW16" s="19"/>
      <c r="DX16" s="19"/>
      <c r="DY16" s="19"/>
      <c r="DZ16" s="19"/>
      <c r="EA16" s="19"/>
      <c r="EB16" s="19"/>
      <c r="EC16" s="20" t="str">
        <f>IF('측정자 입력파일'!X10=1,"O","X")</f>
        <v>O</v>
      </c>
      <c r="ED16" s="363"/>
      <c r="EE16" s="8"/>
      <c r="EF16" s="8"/>
      <c r="EG16" s="693"/>
      <c r="EH16" s="694"/>
      <c r="EI16" s="699"/>
      <c r="EJ16" s="699"/>
      <c r="EK16" s="699"/>
      <c r="EL16" s="699"/>
      <c r="EM16" s="699"/>
      <c r="EN16" s="699"/>
      <c r="EO16" s="699"/>
      <c r="EP16" s="699"/>
      <c r="EQ16" s="699"/>
      <c r="ER16" s="699"/>
      <c r="ES16" s="699"/>
      <c r="ET16" s="699"/>
      <c r="EU16" s="699"/>
      <c r="EV16" s="699"/>
      <c r="EW16" s="699"/>
      <c r="EX16" s="700"/>
      <c r="EY16" s="8"/>
      <c r="EZ16" s="8"/>
      <c r="FA16" s="689"/>
      <c r="FB16" s="690"/>
      <c r="FC16" s="16" t="s">
        <v>439</v>
      </c>
      <c r="FD16" s="17"/>
      <c r="FE16" s="17"/>
      <c r="FF16" s="17"/>
      <c r="FG16" s="17"/>
      <c r="FH16" s="17"/>
      <c r="FI16" s="17"/>
      <c r="FJ16" s="17"/>
      <c r="FK16" s="17"/>
      <c r="FL16" s="17"/>
      <c r="FM16" s="17"/>
      <c r="FN16" s="17"/>
      <c r="FO16" s="357">
        <f>'측정자 입력파일'!Y43</f>
        <v>-24510416</v>
      </c>
      <c r="FP16" s="358"/>
      <c r="FQ16" s="354"/>
      <c r="FR16" s="380"/>
      <c r="FS16" s="8"/>
    </row>
    <row r="17" spans="2:175" ht="13.5" customHeight="1">
      <c r="B17" s="685"/>
      <c r="C17" s="685"/>
      <c r="D17" s="685"/>
      <c r="E17" s="685"/>
      <c r="F17" s="685"/>
      <c r="G17" s="685"/>
      <c r="H17" s="685"/>
      <c r="I17" s="685"/>
      <c r="J17" s="685"/>
      <c r="X17" s="685"/>
      <c r="Y17" s="685"/>
      <c r="Z17" s="685"/>
      <c r="AA17" s="685"/>
      <c r="AB17" s="685"/>
      <c r="AC17" s="685"/>
      <c r="AD17" s="685"/>
      <c r="AE17" s="685"/>
      <c r="AF17" s="685"/>
      <c r="BC17" s="685"/>
      <c r="BD17" s="685"/>
      <c r="BE17" s="685"/>
      <c r="BF17" s="685"/>
      <c r="BG17" s="685"/>
      <c r="BH17" s="685"/>
      <c r="BI17" s="685"/>
      <c r="BJ17" s="685"/>
      <c r="BK17" s="685"/>
      <c r="CH17" s="685"/>
      <c r="CI17" s="685"/>
      <c r="CJ17" s="685"/>
      <c r="CK17" s="685"/>
      <c r="CL17" s="685"/>
      <c r="CM17" s="685"/>
      <c r="CN17" s="685"/>
      <c r="CO17" s="685"/>
      <c r="CP17" s="685"/>
      <c r="DL17" s="8"/>
      <c r="DM17" s="689"/>
      <c r="DN17" s="690"/>
      <c r="DO17" s="35" t="s">
        <v>106</v>
      </c>
      <c r="DP17" s="19"/>
      <c r="DQ17" s="19"/>
      <c r="DR17" s="19"/>
      <c r="DS17" s="19"/>
      <c r="DT17" s="19"/>
      <c r="DU17" s="19"/>
      <c r="DV17" s="19"/>
      <c r="DW17" s="19"/>
      <c r="DX17" s="19"/>
      <c r="DY17" s="19"/>
      <c r="DZ17" s="19"/>
      <c r="EA17" s="19"/>
      <c r="EB17" s="19"/>
      <c r="EC17" s="20" t="str">
        <f>IF('측정자 입력파일'!X11=1,"O","X")</f>
        <v>O</v>
      </c>
      <c r="ED17" s="363"/>
      <c r="EE17" s="8"/>
      <c r="EF17" s="8"/>
      <c r="EG17" s="693"/>
      <c r="EH17" s="694"/>
      <c r="EI17" s="699"/>
      <c r="EJ17" s="699"/>
      <c r="EK17" s="699"/>
      <c r="EL17" s="699"/>
      <c r="EM17" s="699"/>
      <c r="EN17" s="699"/>
      <c r="EO17" s="699"/>
      <c r="EP17" s="699"/>
      <c r="EQ17" s="699"/>
      <c r="ER17" s="699"/>
      <c r="ES17" s="699"/>
      <c r="ET17" s="699"/>
      <c r="EU17" s="699"/>
      <c r="EV17" s="699"/>
      <c r="EW17" s="699"/>
      <c r="EX17" s="700"/>
      <c r="EY17" s="8"/>
      <c r="EZ17" s="8"/>
      <c r="FA17" s="689"/>
      <c r="FB17" s="690"/>
      <c r="FC17" s="337" t="s">
        <v>441</v>
      </c>
      <c r="FD17" s="336"/>
      <c r="FE17" s="336"/>
      <c r="FF17" s="336"/>
      <c r="FG17" s="336"/>
      <c r="FH17" s="336"/>
      <c r="FI17" s="336"/>
      <c r="FJ17" s="336"/>
      <c r="FK17" s="336"/>
      <c r="FL17" s="336"/>
      <c r="FM17" s="336"/>
      <c r="FN17" s="336"/>
      <c r="FO17" s="359">
        <f>'측정자 입력파일'!AH95</f>
        <v>6431554</v>
      </c>
      <c r="FP17" s="355"/>
      <c r="FQ17" s="355"/>
      <c r="FR17" s="381"/>
      <c r="FS17" s="8"/>
    </row>
    <row r="18" spans="2:175" ht="13.5" customHeight="1" thickBot="1">
      <c r="B18" s="685"/>
      <c r="C18" s="685"/>
      <c r="D18" s="685"/>
      <c r="E18" s="685"/>
      <c r="F18" s="685"/>
      <c r="G18" s="685"/>
      <c r="H18" s="685"/>
      <c r="I18" s="685"/>
      <c r="J18" s="685"/>
      <c r="X18" s="685"/>
      <c r="Y18" s="685"/>
      <c r="Z18" s="685"/>
      <c r="AA18" s="685"/>
      <c r="AB18" s="685"/>
      <c r="AC18" s="685"/>
      <c r="AD18" s="685"/>
      <c r="AE18" s="685"/>
      <c r="AF18" s="685"/>
      <c r="BC18" s="685"/>
      <c r="BD18" s="685"/>
      <c r="BE18" s="685"/>
      <c r="BF18" s="685"/>
      <c r="BG18" s="685"/>
      <c r="BH18" s="685"/>
      <c r="BI18" s="685"/>
      <c r="BJ18" s="685"/>
      <c r="BK18" s="685"/>
      <c r="CH18" s="685"/>
      <c r="CI18" s="685"/>
      <c r="CJ18" s="685"/>
      <c r="CK18" s="685"/>
      <c r="CL18" s="685"/>
      <c r="CM18" s="685"/>
      <c r="CN18" s="685"/>
      <c r="CO18" s="685"/>
      <c r="CP18" s="685"/>
      <c r="DL18" s="8"/>
      <c r="DM18" s="689"/>
      <c r="DN18" s="690"/>
      <c r="DO18" s="35" t="s">
        <v>111</v>
      </c>
      <c r="DP18" s="19"/>
      <c r="DQ18" s="19"/>
      <c r="DR18" s="19"/>
      <c r="DS18" s="19"/>
      <c r="DT18" s="19"/>
      <c r="DU18" s="19"/>
      <c r="DV18" s="19"/>
      <c r="DW18" s="19"/>
      <c r="DX18" s="19"/>
      <c r="DY18" s="19"/>
      <c r="DZ18" s="19"/>
      <c r="EA18" s="19"/>
      <c r="EB18" s="19"/>
      <c r="EC18" s="20" t="str">
        <f>IF('측정자 입력파일'!X12=1,"O","X")</f>
        <v>O</v>
      </c>
      <c r="ED18" s="363"/>
      <c r="EE18" s="8"/>
      <c r="EF18" s="8"/>
      <c r="EG18" s="695"/>
      <c r="EH18" s="696"/>
      <c r="EI18" s="701"/>
      <c r="EJ18" s="701"/>
      <c r="EK18" s="701"/>
      <c r="EL18" s="701"/>
      <c r="EM18" s="701"/>
      <c r="EN18" s="701"/>
      <c r="EO18" s="701"/>
      <c r="EP18" s="701"/>
      <c r="EQ18" s="701"/>
      <c r="ER18" s="701"/>
      <c r="ES18" s="701"/>
      <c r="ET18" s="701"/>
      <c r="EU18" s="701"/>
      <c r="EV18" s="701"/>
      <c r="EW18" s="701"/>
      <c r="EX18" s="702"/>
      <c r="EY18" s="8"/>
      <c r="EZ18" s="8"/>
      <c r="FA18" s="719"/>
      <c r="FB18" s="720"/>
      <c r="FC18" s="382" t="s">
        <v>440</v>
      </c>
      <c r="FD18" s="41"/>
      <c r="FE18" s="41"/>
      <c r="FF18" s="41"/>
      <c r="FG18" s="41"/>
      <c r="FH18" s="41"/>
      <c r="FI18" s="41"/>
      <c r="FJ18" s="41"/>
      <c r="FK18" s="41"/>
      <c r="FL18" s="41"/>
      <c r="FM18" s="41"/>
      <c r="FN18" s="41"/>
      <c r="FO18" s="383"/>
      <c r="FP18" s="384">
        <f>'측정자 입력파일'!Y44</f>
        <v>0.32047872417845652</v>
      </c>
      <c r="FQ18" s="383"/>
      <c r="FR18" s="386"/>
      <c r="FS18" s="8"/>
    </row>
    <row r="19" spans="2:175" ht="13.5" customHeight="1" thickBot="1">
      <c r="B19" s="685"/>
      <c r="C19" s="685"/>
      <c r="D19" s="685"/>
      <c r="E19" s="685"/>
      <c r="F19" s="685"/>
      <c r="G19" s="685"/>
      <c r="H19" s="685"/>
      <c r="I19" s="685"/>
      <c r="J19" s="685"/>
      <c r="X19" s="685"/>
      <c r="Y19" s="685"/>
      <c r="Z19" s="685"/>
      <c r="AA19" s="685"/>
      <c r="AB19" s="685"/>
      <c r="AC19" s="685"/>
      <c r="AD19" s="685"/>
      <c r="AE19" s="685"/>
      <c r="AF19" s="685"/>
      <c r="BC19" s="685"/>
      <c r="BD19" s="685"/>
      <c r="BE19" s="685"/>
      <c r="BF19" s="685"/>
      <c r="BG19" s="685"/>
      <c r="BH19" s="685"/>
      <c r="BI19" s="685"/>
      <c r="BJ19" s="685"/>
      <c r="BK19" s="685"/>
      <c r="CH19" s="685"/>
      <c r="CI19" s="685"/>
      <c r="CJ19" s="685"/>
      <c r="CK19" s="685"/>
      <c r="CL19" s="685"/>
      <c r="CM19" s="685"/>
      <c r="CN19" s="685"/>
      <c r="CO19" s="685"/>
      <c r="CP19" s="685"/>
      <c r="DL19" s="8"/>
      <c r="DM19" s="689"/>
      <c r="DN19" s="690"/>
      <c r="DO19" s="33" t="s">
        <v>114</v>
      </c>
      <c r="DP19" s="24"/>
      <c r="DQ19" s="24"/>
      <c r="DR19" s="24"/>
      <c r="DS19" s="24"/>
      <c r="DT19" s="24"/>
      <c r="DU19" s="24"/>
      <c r="DV19" s="24"/>
      <c r="DW19" s="24"/>
      <c r="DX19" s="24"/>
      <c r="DY19" s="24"/>
      <c r="DZ19" s="24"/>
      <c r="EA19" s="24"/>
      <c r="EB19" s="24"/>
      <c r="EC19" s="27" t="str">
        <f>IF('측정자 입력파일'!X13=1,"O","X")</f>
        <v>O</v>
      </c>
      <c r="ED19" s="364"/>
      <c r="EE19" s="8"/>
      <c r="EF19" s="8"/>
      <c r="EY19" s="8"/>
      <c r="EZ19" s="8"/>
      <c r="FS19" s="8"/>
    </row>
    <row r="20" spans="2:175" ht="13.5" customHeight="1" thickBot="1">
      <c r="B20" s="685"/>
      <c r="C20" s="685"/>
      <c r="D20" s="685"/>
      <c r="E20" s="685"/>
      <c r="F20" s="685"/>
      <c r="G20" s="685"/>
      <c r="H20" s="685"/>
      <c r="I20" s="685"/>
      <c r="J20" s="685"/>
      <c r="X20" s="685"/>
      <c r="Y20" s="685"/>
      <c r="Z20" s="685"/>
      <c r="AA20" s="685"/>
      <c r="AB20" s="685"/>
      <c r="AC20" s="685"/>
      <c r="AD20" s="685"/>
      <c r="AE20" s="685"/>
      <c r="AF20" s="685"/>
      <c r="BC20" s="685"/>
      <c r="BD20" s="685"/>
      <c r="BE20" s="685"/>
      <c r="BF20" s="685"/>
      <c r="BG20" s="685"/>
      <c r="BH20" s="685"/>
      <c r="BI20" s="685"/>
      <c r="BJ20" s="685"/>
      <c r="BK20" s="685"/>
      <c r="CH20" s="685"/>
      <c r="CI20" s="685"/>
      <c r="CJ20" s="685"/>
      <c r="CK20" s="685"/>
      <c r="CL20" s="685"/>
      <c r="CM20" s="685"/>
      <c r="CN20" s="685"/>
      <c r="CO20" s="685"/>
      <c r="CP20" s="685"/>
      <c r="DL20" s="8"/>
      <c r="DM20" s="691" t="s">
        <v>76</v>
      </c>
      <c r="DN20" s="692"/>
      <c r="DO20" s="697" t="str">
        <f>'측정자 입력파일'!AD9</f>
        <v>지금처럼 잘 유지하도록 하되, 매년 기업 내부에서 집중 할 사회적 성과 목표에 대한 계획을 수립하고 정기적으로 관리하도록 요함</v>
      </c>
      <c r="DP20" s="697"/>
      <c r="DQ20" s="697"/>
      <c r="DR20" s="697"/>
      <c r="DS20" s="697"/>
      <c r="DT20" s="697"/>
      <c r="DU20" s="697"/>
      <c r="DV20" s="697"/>
      <c r="DW20" s="697"/>
      <c r="DX20" s="697"/>
      <c r="DY20" s="697"/>
      <c r="DZ20" s="697"/>
      <c r="EA20" s="697"/>
      <c r="EB20" s="697"/>
      <c r="EC20" s="697"/>
      <c r="ED20" s="698"/>
      <c r="EE20" s="8"/>
      <c r="EF20" s="8"/>
      <c r="EY20" s="8"/>
      <c r="EZ20" s="8"/>
      <c r="FA20" s="687" t="s">
        <v>129</v>
      </c>
      <c r="FB20" s="688"/>
      <c r="FC20" s="360" t="s">
        <v>130</v>
      </c>
      <c r="FD20" s="361"/>
      <c r="FE20" s="361"/>
      <c r="FF20" s="361"/>
      <c r="FG20" s="361"/>
      <c r="FH20" s="361"/>
      <c r="FI20" s="361"/>
      <c r="FJ20" s="361"/>
      <c r="FK20" s="361"/>
      <c r="FL20" s="361"/>
      <c r="FM20" s="361"/>
      <c r="FN20" s="361"/>
      <c r="FO20" s="361"/>
      <c r="FP20" s="369"/>
      <c r="FQ20" s="11">
        <f>'보고서 데이터'!AN46</f>
        <v>3.5</v>
      </c>
      <c r="FR20" s="12"/>
      <c r="FS20" s="8"/>
    </row>
    <row r="21" spans="2:175" ht="13.5" customHeight="1" thickBot="1">
      <c r="B21" s="685"/>
      <c r="C21" s="685"/>
      <c r="D21" s="685"/>
      <c r="E21" s="685"/>
      <c r="F21" s="685"/>
      <c r="G21" s="685"/>
      <c r="H21" s="685"/>
      <c r="I21" s="685"/>
      <c r="J21" s="685"/>
      <c r="X21" s="685"/>
      <c r="Y21" s="685"/>
      <c r="Z21" s="685"/>
      <c r="AA21" s="685"/>
      <c r="AB21" s="685"/>
      <c r="AC21" s="685"/>
      <c r="AD21" s="685"/>
      <c r="AE21" s="685"/>
      <c r="AF21" s="685"/>
      <c r="BC21" s="685"/>
      <c r="BD21" s="685"/>
      <c r="BE21" s="685"/>
      <c r="BF21" s="685"/>
      <c r="BG21" s="685"/>
      <c r="BH21" s="685"/>
      <c r="BI21" s="685"/>
      <c r="BJ21" s="685"/>
      <c r="BK21" s="685"/>
      <c r="CH21" s="685"/>
      <c r="CI21" s="685"/>
      <c r="CJ21" s="685"/>
      <c r="CK21" s="685"/>
      <c r="CL21" s="685"/>
      <c r="CM21" s="685"/>
      <c r="CN21" s="685"/>
      <c r="CO21" s="685"/>
      <c r="CP21" s="685"/>
      <c r="DL21" s="8"/>
      <c r="DM21" s="693"/>
      <c r="DN21" s="694"/>
      <c r="DO21" s="699"/>
      <c r="DP21" s="699"/>
      <c r="DQ21" s="699"/>
      <c r="DR21" s="699"/>
      <c r="DS21" s="699"/>
      <c r="DT21" s="699"/>
      <c r="DU21" s="699"/>
      <c r="DV21" s="699"/>
      <c r="DW21" s="699"/>
      <c r="DX21" s="699"/>
      <c r="DY21" s="699"/>
      <c r="DZ21" s="699"/>
      <c r="EA21" s="699"/>
      <c r="EB21" s="699"/>
      <c r="EC21" s="699"/>
      <c r="ED21" s="700"/>
      <c r="EE21" s="8"/>
      <c r="EF21" s="8"/>
      <c r="EG21" s="687" t="s">
        <v>107</v>
      </c>
      <c r="EH21" s="688"/>
      <c r="EI21" s="360" t="s">
        <v>108</v>
      </c>
      <c r="EJ21" s="361"/>
      <c r="EK21" s="361"/>
      <c r="EL21" s="361"/>
      <c r="EM21" s="361"/>
      <c r="EN21" s="361"/>
      <c r="EO21" s="361"/>
      <c r="EP21" s="361"/>
      <c r="EQ21" s="361"/>
      <c r="ER21" s="361"/>
      <c r="ES21" s="361"/>
      <c r="ET21" s="361"/>
      <c r="EU21" s="361"/>
      <c r="EV21" s="361"/>
      <c r="EW21" s="11">
        <f>'측정자 입력파일'!AA31</f>
        <v>5</v>
      </c>
      <c r="EX21" s="12"/>
      <c r="EY21" s="8"/>
      <c r="EZ21" s="8"/>
      <c r="FA21" s="689"/>
      <c r="FB21" s="690"/>
      <c r="FC21" s="16" t="s">
        <v>442</v>
      </c>
      <c r="FD21" s="17"/>
      <c r="FE21" s="17"/>
      <c r="FF21" s="17"/>
      <c r="FG21" s="17"/>
      <c r="FH21" s="17"/>
      <c r="FI21" s="17"/>
      <c r="FJ21" s="17"/>
      <c r="FK21" s="17"/>
      <c r="FL21" s="17"/>
      <c r="FM21" s="17"/>
      <c r="FN21" s="17"/>
      <c r="FO21" s="357">
        <f>'측정자 입력파일'!Y45</f>
        <v>356142.09174311929</v>
      </c>
      <c r="FP21" s="358"/>
      <c r="FQ21" s="354"/>
      <c r="FR21" s="380"/>
      <c r="FS21" s="8"/>
    </row>
    <row r="22" spans="2:175" ht="13.5" customHeight="1">
      <c r="B22" s="685"/>
      <c r="C22" s="685"/>
      <c r="D22" s="685"/>
      <c r="E22" s="685"/>
      <c r="F22" s="685"/>
      <c r="G22" s="685"/>
      <c r="H22" s="685"/>
      <c r="I22" s="685"/>
      <c r="J22" s="685"/>
      <c r="X22" s="685"/>
      <c r="Y22" s="685"/>
      <c r="Z22" s="685"/>
      <c r="AA22" s="685"/>
      <c r="AB22" s="685"/>
      <c r="AC22" s="685"/>
      <c r="AD22" s="685"/>
      <c r="AE22" s="685"/>
      <c r="AF22" s="685"/>
      <c r="BC22" s="685"/>
      <c r="BD22" s="685"/>
      <c r="BE22" s="685"/>
      <c r="BF22" s="685"/>
      <c r="BG22" s="685"/>
      <c r="BH22" s="685"/>
      <c r="BI22" s="685"/>
      <c r="BJ22" s="685"/>
      <c r="BK22" s="685"/>
      <c r="CH22" s="685"/>
      <c r="CI22" s="685"/>
      <c r="CJ22" s="685"/>
      <c r="CK22" s="685"/>
      <c r="CL22" s="685"/>
      <c r="CM22" s="685"/>
      <c r="CN22" s="685"/>
      <c r="CO22" s="685"/>
      <c r="CP22" s="685"/>
      <c r="DL22" s="8"/>
      <c r="DM22" s="693"/>
      <c r="DN22" s="694"/>
      <c r="DO22" s="699"/>
      <c r="DP22" s="699"/>
      <c r="DQ22" s="699"/>
      <c r="DR22" s="699"/>
      <c r="DS22" s="699"/>
      <c r="DT22" s="699"/>
      <c r="DU22" s="699"/>
      <c r="DV22" s="699"/>
      <c r="DW22" s="699"/>
      <c r="DX22" s="699"/>
      <c r="DY22" s="699"/>
      <c r="DZ22" s="699"/>
      <c r="EA22" s="699"/>
      <c r="EB22" s="699"/>
      <c r="EC22" s="699"/>
      <c r="ED22" s="700"/>
      <c r="EE22" s="8"/>
      <c r="EF22" s="8"/>
      <c r="EG22" s="689"/>
      <c r="EH22" s="690"/>
      <c r="EI22" s="36" t="s">
        <v>112</v>
      </c>
      <c r="EJ22" s="37"/>
      <c r="EK22" s="37"/>
      <c r="EL22" s="37"/>
      <c r="EM22" s="37"/>
      <c r="EN22" s="37"/>
      <c r="EO22" s="37"/>
      <c r="EP22" s="37"/>
      <c r="EQ22" s="37"/>
      <c r="ER22" s="37"/>
      <c r="ES22" s="37"/>
      <c r="ET22" s="37"/>
      <c r="EU22" s="37"/>
      <c r="EV22" s="37"/>
      <c r="EW22" s="38">
        <f>'측정자 입력파일'!Y31</f>
        <v>0.6428571428571429</v>
      </c>
      <c r="EX22" s="374"/>
      <c r="EY22" s="8"/>
      <c r="EZ22" s="8"/>
      <c r="FA22" s="689"/>
      <c r="FB22" s="690"/>
      <c r="FC22" s="337" t="s">
        <v>443</v>
      </c>
      <c r="FD22" s="336"/>
      <c r="FE22" s="336"/>
      <c r="FF22" s="336"/>
      <c r="FG22" s="336"/>
      <c r="FH22" s="336"/>
      <c r="FI22" s="336"/>
      <c r="FJ22" s="336"/>
      <c r="FK22" s="336"/>
      <c r="FL22" s="336"/>
      <c r="FM22" s="336"/>
      <c r="FN22" s="336"/>
      <c r="FO22" s="359">
        <f>'측정자 입력파일'!AJ95</f>
        <v>418524</v>
      </c>
      <c r="FP22" s="355"/>
      <c r="FQ22" s="355"/>
      <c r="FR22" s="381"/>
      <c r="FS22" s="8"/>
    </row>
    <row r="23" spans="2:175" ht="13.5" customHeight="1" thickBot="1">
      <c r="B23" s="685"/>
      <c r="C23" s="685"/>
      <c r="D23" s="685"/>
      <c r="E23" s="685"/>
      <c r="F23" s="685"/>
      <c r="G23" s="685"/>
      <c r="H23" s="685"/>
      <c r="I23" s="685"/>
      <c r="J23" s="685"/>
      <c r="X23" s="685"/>
      <c r="Y23" s="685"/>
      <c r="Z23" s="685"/>
      <c r="AA23" s="685"/>
      <c r="AB23" s="685"/>
      <c r="AC23" s="685"/>
      <c r="AD23" s="685"/>
      <c r="AE23" s="685"/>
      <c r="AF23" s="685"/>
      <c r="AI23" s="301"/>
      <c r="AJ23" s="301"/>
      <c r="AK23" s="301"/>
      <c r="AL23" s="301"/>
      <c r="AM23" s="301"/>
      <c r="AN23" s="301"/>
      <c r="AO23" s="301"/>
      <c r="AP23" s="301"/>
      <c r="AQ23" s="301"/>
      <c r="AR23" s="301"/>
      <c r="AS23" s="301"/>
      <c r="AT23" s="301"/>
      <c r="AU23" s="301"/>
      <c r="AV23" s="301"/>
      <c r="AW23" s="301"/>
      <c r="AX23" s="301"/>
      <c r="AY23" s="301"/>
      <c r="AZ23" s="301"/>
      <c r="BC23" s="685"/>
      <c r="BD23" s="685"/>
      <c r="BE23" s="685"/>
      <c r="BF23" s="685"/>
      <c r="BG23" s="685"/>
      <c r="BH23" s="685"/>
      <c r="BI23" s="685"/>
      <c r="BJ23" s="685"/>
      <c r="BK23" s="685"/>
      <c r="BN23" s="301"/>
      <c r="BO23" s="301"/>
      <c r="BP23" s="301"/>
      <c r="BQ23" s="301"/>
      <c r="BR23" s="301"/>
      <c r="BS23" s="301"/>
      <c r="BT23" s="301"/>
      <c r="BU23" s="301"/>
      <c r="BV23" s="301"/>
      <c r="BW23" s="301"/>
      <c r="BX23" s="301"/>
      <c r="BY23" s="301"/>
      <c r="BZ23" s="301"/>
      <c r="CA23" s="301"/>
      <c r="CB23" s="301"/>
      <c r="CC23" s="301"/>
      <c r="CD23" s="301"/>
      <c r="CE23" s="301"/>
      <c r="CH23" s="685"/>
      <c r="CI23" s="685"/>
      <c r="CJ23" s="685"/>
      <c r="CK23" s="685"/>
      <c r="CL23" s="685"/>
      <c r="CM23" s="685"/>
      <c r="CN23" s="685"/>
      <c r="CO23" s="685"/>
      <c r="CP23" s="685"/>
      <c r="CS23" s="301"/>
      <c r="CT23" s="301"/>
      <c r="CU23" s="301"/>
      <c r="CV23" s="301"/>
      <c r="CW23" s="301"/>
      <c r="CX23" s="301"/>
      <c r="CY23" s="301"/>
      <c r="CZ23" s="301"/>
      <c r="DA23" s="301"/>
      <c r="DB23" s="301"/>
      <c r="DC23" s="301"/>
      <c r="DD23" s="301"/>
      <c r="DE23" s="301"/>
      <c r="DF23" s="301"/>
      <c r="DG23" s="301"/>
      <c r="DH23" s="301"/>
      <c r="DI23" s="301"/>
      <c r="DJ23" s="301"/>
      <c r="DL23" s="8"/>
      <c r="DM23" s="693"/>
      <c r="DN23" s="694"/>
      <c r="DO23" s="699"/>
      <c r="DP23" s="699"/>
      <c r="DQ23" s="699"/>
      <c r="DR23" s="699"/>
      <c r="DS23" s="699"/>
      <c r="DT23" s="699"/>
      <c r="DU23" s="699"/>
      <c r="DV23" s="699"/>
      <c r="DW23" s="699"/>
      <c r="DX23" s="699"/>
      <c r="DY23" s="699"/>
      <c r="DZ23" s="699"/>
      <c r="EA23" s="699"/>
      <c r="EB23" s="699"/>
      <c r="EC23" s="699"/>
      <c r="ED23" s="700"/>
      <c r="EE23" s="8"/>
      <c r="EF23" s="8"/>
      <c r="EG23" s="689"/>
      <c r="EH23" s="690"/>
      <c r="EI23" s="39" t="s">
        <v>115</v>
      </c>
      <c r="EJ23" s="13"/>
      <c r="EK23" s="13"/>
      <c r="EL23" s="13"/>
      <c r="EM23" s="13"/>
      <c r="EN23" s="13"/>
      <c r="EO23" s="13"/>
      <c r="EP23" s="13"/>
      <c r="EQ23" s="13"/>
      <c r="ER23" s="13"/>
      <c r="ES23" s="13"/>
      <c r="ET23" s="13"/>
      <c r="EU23" s="13"/>
      <c r="EV23" s="13"/>
      <c r="EW23" s="40">
        <f>'측정자 입력파일'!Y32</f>
        <v>1</v>
      </c>
      <c r="EX23" s="375"/>
      <c r="EY23" s="8"/>
      <c r="EZ23" s="8"/>
      <c r="FA23" s="719"/>
      <c r="FB23" s="720"/>
      <c r="FC23" s="382" t="s">
        <v>444</v>
      </c>
      <c r="FD23" s="41"/>
      <c r="FE23" s="41"/>
      <c r="FF23" s="41"/>
      <c r="FG23" s="41"/>
      <c r="FH23" s="41"/>
      <c r="FI23" s="41"/>
      <c r="FJ23" s="41"/>
      <c r="FK23" s="41"/>
      <c r="FL23" s="41"/>
      <c r="FM23" s="41"/>
      <c r="FN23" s="41"/>
      <c r="FO23" s="383"/>
      <c r="FP23" s="384">
        <f>'측정자 입력파일'!Y46</f>
        <v>-5.4217082519983584E-2</v>
      </c>
      <c r="FQ23" s="383"/>
      <c r="FR23" s="386"/>
    </row>
    <row r="24" spans="2:175" ht="13.5" customHeight="1" thickBot="1">
      <c r="B24" s="685"/>
      <c r="C24" s="685"/>
      <c r="D24" s="685"/>
      <c r="E24" s="685"/>
      <c r="F24" s="685"/>
      <c r="G24" s="685"/>
      <c r="H24" s="685"/>
      <c r="I24" s="685"/>
      <c r="J24" s="685"/>
      <c r="X24" s="685"/>
      <c r="Y24" s="685"/>
      <c r="Z24" s="685"/>
      <c r="AA24" s="685"/>
      <c r="AB24" s="685"/>
      <c r="AC24" s="685"/>
      <c r="AD24" s="685"/>
      <c r="AE24" s="685"/>
      <c r="AF24" s="685"/>
      <c r="AI24" s="301"/>
      <c r="AJ24" s="301"/>
      <c r="AK24" s="301"/>
      <c r="AL24" s="301"/>
      <c r="AM24" s="301"/>
      <c r="AN24" s="301"/>
      <c r="AO24" s="301"/>
      <c r="AP24" s="301"/>
      <c r="AQ24" s="301"/>
      <c r="AR24" s="301"/>
      <c r="AS24" s="301"/>
      <c r="AT24" s="301"/>
      <c r="AU24" s="301"/>
      <c r="AV24" s="301"/>
      <c r="AW24" s="301"/>
      <c r="AX24" s="301"/>
      <c r="AY24" s="301"/>
      <c r="AZ24" s="301"/>
      <c r="BC24" s="685"/>
      <c r="BD24" s="685"/>
      <c r="BE24" s="685"/>
      <c r="BF24" s="685"/>
      <c r="BG24" s="685"/>
      <c r="BH24" s="685"/>
      <c r="BI24" s="685"/>
      <c r="BJ24" s="685"/>
      <c r="BK24" s="685"/>
      <c r="BN24" s="301"/>
      <c r="BO24" s="301"/>
      <c r="BP24" s="301"/>
      <c r="BQ24" s="301"/>
      <c r="BR24" s="301"/>
      <c r="BS24" s="301"/>
      <c r="BT24" s="301"/>
      <c r="BU24" s="301"/>
      <c r="BV24" s="301"/>
      <c r="BW24" s="301"/>
      <c r="BX24" s="301"/>
      <c r="BY24" s="301"/>
      <c r="BZ24" s="301"/>
      <c r="CA24" s="301"/>
      <c r="CB24" s="301"/>
      <c r="CC24" s="301"/>
      <c r="CD24" s="301"/>
      <c r="CE24" s="301"/>
      <c r="CH24" s="685"/>
      <c r="CI24" s="685"/>
      <c r="CJ24" s="685"/>
      <c r="CK24" s="685"/>
      <c r="CL24" s="685"/>
      <c r="CM24" s="685"/>
      <c r="CN24" s="685"/>
      <c r="CO24" s="685"/>
      <c r="CP24" s="685"/>
      <c r="CS24" s="301"/>
      <c r="CT24" s="301"/>
      <c r="CU24" s="301"/>
      <c r="CV24" s="301"/>
      <c r="CW24" s="301"/>
      <c r="CX24" s="301"/>
      <c r="CY24" s="301"/>
      <c r="CZ24" s="301"/>
      <c r="DA24" s="301"/>
      <c r="DB24" s="301"/>
      <c r="DC24" s="301"/>
      <c r="DD24" s="301"/>
      <c r="DE24" s="301"/>
      <c r="DF24" s="301"/>
      <c r="DG24" s="301"/>
      <c r="DH24" s="301"/>
      <c r="DI24" s="301"/>
      <c r="DJ24" s="301"/>
      <c r="DL24" s="8"/>
      <c r="DM24" s="695"/>
      <c r="DN24" s="696"/>
      <c r="DO24" s="701"/>
      <c r="DP24" s="701"/>
      <c r="DQ24" s="701"/>
      <c r="DR24" s="701"/>
      <c r="DS24" s="701"/>
      <c r="DT24" s="701"/>
      <c r="DU24" s="701"/>
      <c r="DV24" s="701"/>
      <c r="DW24" s="701"/>
      <c r="DX24" s="701"/>
      <c r="DY24" s="701"/>
      <c r="DZ24" s="701"/>
      <c r="EA24" s="701"/>
      <c r="EB24" s="701"/>
      <c r="EC24" s="701"/>
      <c r="ED24" s="702"/>
      <c r="EE24" s="8"/>
      <c r="EF24" s="8"/>
      <c r="EG24" s="691" t="s">
        <v>76</v>
      </c>
      <c r="EH24" s="692"/>
      <c r="EI24" s="697" t="str">
        <f>'측정자 입력파일'!AD31</f>
        <v>민주적인 의사결정구조를 잘 갖추고 있으며 현행을 유지할 수 있도록 노력 요함</v>
      </c>
      <c r="EJ24" s="697"/>
      <c r="EK24" s="697"/>
      <c r="EL24" s="697"/>
      <c r="EM24" s="697"/>
      <c r="EN24" s="697"/>
      <c r="EO24" s="697"/>
      <c r="EP24" s="697"/>
      <c r="EQ24" s="697"/>
      <c r="ER24" s="697"/>
      <c r="ES24" s="697"/>
      <c r="ET24" s="697"/>
      <c r="EU24" s="697"/>
      <c r="EV24" s="697"/>
      <c r="EW24" s="697"/>
      <c r="EX24" s="698"/>
      <c r="EY24" s="8"/>
      <c r="EZ24" s="8"/>
      <c r="FS24" s="8"/>
    </row>
    <row r="25" spans="2:175" ht="13.5" customHeight="1">
      <c r="B25" s="685"/>
      <c r="C25" s="685"/>
      <c r="D25" s="685"/>
      <c r="E25" s="685"/>
      <c r="F25" s="685"/>
      <c r="G25" s="685"/>
      <c r="H25" s="685"/>
      <c r="I25" s="685"/>
      <c r="J25" s="685"/>
      <c r="X25" s="685"/>
      <c r="Y25" s="685"/>
      <c r="Z25" s="685"/>
      <c r="AA25" s="685"/>
      <c r="AB25" s="685"/>
      <c r="AC25" s="685"/>
      <c r="AD25" s="685"/>
      <c r="AE25" s="685"/>
      <c r="AF25" s="685"/>
      <c r="AI25" s="301"/>
      <c r="AJ25" s="301"/>
      <c r="AK25" s="301"/>
      <c r="AL25" s="301"/>
      <c r="AM25" s="301"/>
      <c r="AN25" s="301"/>
      <c r="AO25" s="301"/>
      <c r="AP25" s="301"/>
      <c r="AQ25" s="301"/>
      <c r="AR25" s="301"/>
      <c r="AS25" s="301"/>
      <c r="AT25" s="301"/>
      <c r="AU25" s="301"/>
      <c r="AV25" s="301"/>
      <c r="AW25" s="301"/>
      <c r="AX25" s="301"/>
      <c r="AY25" s="301"/>
      <c r="AZ25" s="301"/>
      <c r="BC25" s="685"/>
      <c r="BD25" s="685"/>
      <c r="BE25" s="685"/>
      <c r="BF25" s="685"/>
      <c r="BG25" s="685"/>
      <c r="BH25" s="685"/>
      <c r="BI25" s="685"/>
      <c r="BJ25" s="685"/>
      <c r="BK25" s="685"/>
      <c r="BN25" s="301"/>
      <c r="BO25" s="301"/>
      <c r="BP25" s="301"/>
      <c r="BQ25" s="301"/>
      <c r="BR25" s="301"/>
      <c r="BS25" s="301"/>
      <c r="BT25" s="301"/>
      <c r="BU25" s="301"/>
      <c r="BV25" s="301"/>
      <c r="BW25" s="301"/>
      <c r="BX25" s="301"/>
      <c r="BY25" s="301"/>
      <c r="BZ25" s="301"/>
      <c r="CA25" s="301"/>
      <c r="CB25" s="301"/>
      <c r="CC25" s="301"/>
      <c r="CD25" s="301"/>
      <c r="CE25" s="301"/>
      <c r="CH25" s="685"/>
      <c r="CI25" s="685"/>
      <c r="CJ25" s="685"/>
      <c r="CK25" s="685"/>
      <c r="CL25" s="685"/>
      <c r="CM25" s="685"/>
      <c r="CN25" s="685"/>
      <c r="CO25" s="685"/>
      <c r="CP25" s="685"/>
      <c r="CS25" s="301"/>
      <c r="CT25" s="301"/>
      <c r="CU25" s="301"/>
      <c r="CV25" s="301"/>
      <c r="CW25" s="301"/>
      <c r="CX25" s="301"/>
      <c r="CY25" s="301"/>
      <c r="CZ25" s="301"/>
      <c r="DA25" s="301"/>
      <c r="DB25" s="301"/>
      <c r="DC25" s="301"/>
      <c r="DD25" s="301"/>
      <c r="DE25" s="301"/>
      <c r="DF25" s="301"/>
      <c r="DG25" s="301"/>
      <c r="DH25" s="301"/>
      <c r="DI25" s="301"/>
      <c r="DJ25" s="301"/>
      <c r="DL25" s="8"/>
      <c r="EE25" s="8"/>
      <c r="EF25" s="8"/>
      <c r="EG25" s="693"/>
      <c r="EH25" s="694"/>
      <c r="EI25" s="699"/>
      <c r="EJ25" s="699"/>
      <c r="EK25" s="699"/>
      <c r="EL25" s="699"/>
      <c r="EM25" s="699"/>
      <c r="EN25" s="699"/>
      <c r="EO25" s="699"/>
      <c r="EP25" s="699"/>
      <c r="EQ25" s="699"/>
      <c r="ER25" s="699"/>
      <c r="ES25" s="699"/>
      <c r="ET25" s="699"/>
      <c r="EU25" s="699"/>
      <c r="EV25" s="699"/>
      <c r="EW25" s="699"/>
      <c r="EX25" s="700"/>
      <c r="EY25" s="8"/>
      <c r="EZ25" s="8"/>
      <c r="FS25" s="8"/>
    </row>
    <row r="26" spans="2:175" ht="13.5" customHeight="1" thickBot="1">
      <c r="B26" s="685"/>
      <c r="C26" s="685"/>
      <c r="D26" s="685"/>
      <c r="E26" s="685"/>
      <c r="F26" s="685"/>
      <c r="G26" s="685"/>
      <c r="H26" s="685"/>
      <c r="I26" s="685"/>
      <c r="J26" s="685"/>
      <c r="X26" s="685"/>
      <c r="Y26" s="685"/>
      <c r="Z26" s="685"/>
      <c r="AA26" s="685"/>
      <c r="AB26" s="685"/>
      <c r="AC26" s="685"/>
      <c r="AD26" s="685"/>
      <c r="AE26" s="685"/>
      <c r="AF26" s="685"/>
      <c r="AI26" s="301"/>
      <c r="AJ26" s="301"/>
      <c r="AK26" s="301"/>
      <c r="AL26" s="301"/>
      <c r="AM26" s="301"/>
      <c r="AN26" s="301"/>
      <c r="AO26" s="301"/>
      <c r="AP26" s="301"/>
      <c r="AQ26" s="301"/>
      <c r="AR26" s="301"/>
      <c r="AS26" s="301"/>
      <c r="AT26" s="301"/>
      <c r="AU26" s="301"/>
      <c r="AV26" s="301"/>
      <c r="AW26" s="301"/>
      <c r="AX26" s="301"/>
      <c r="AY26" s="301"/>
      <c r="AZ26" s="301"/>
      <c r="BC26" s="685"/>
      <c r="BD26" s="685"/>
      <c r="BE26" s="685"/>
      <c r="BF26" s="685"/>
      <c r="BG26" s="685"/>
      <c r="BH26" s="685"/>
      <c r="BI26" s="685"/>
      <c r="BJ26" s="685"/>
      <c r="BK26" s="685"/>
      <c r="BN26" s="301"/>
      <c r="BO26" s="301"/>
      <c r="BP26" s="301"/>
      <c r="BQ26" s="301"/>
      <c r="BR26" s="301"/>
      <c r="BS26" s="301"/>
      <c r="BT26" s="301"/>
      <c r="BU26" s="301"/>
      <c r="BV26" s="301"/>
      <c r="BW26" s="301"/>
      <c r="BX26" s="301"/>
      <c r="BY26" s="301"/>
      <c r="BZ26" s="301"/>
      <c r="CA26" s="301"/>
      <c r="CB26" s="301"/>
      <c r="CC26" s="301"/>
      <c r="CD26" s="301"/>
      <c r="CE26" s="301"/>
      <c r="CH26" s="685"/>
      <c r="CI26" s="685"/>
      <c r="CJ26" s="685"/>
      <c r="CK26" s="685"/>
      <c r="CL26" s="685"/>
      <c r="CM26" s="685"/>
      <c r="CN26" s="685"/>
      <c r="CO26" s="685"/>
      <c r="CP26" s="685"/>
      <c r="CS26" s="301"/>
      <c r="CT26" s="301"/>
      <c r="CU26" s="301"/>
      <c r="CV26" s="301"/>
      <c r="CW26" s="301"/>
      <c r="CX26" s="301"/>
      <c r="CY26" s="301"/>
      <c r="CZ26" s="301"/>
      <c r="DA26" s="301"/>
      <c r="DB26" s="301"/>
      <c r="DC26" s="301"/>
      <c r="DD26" s="301"/>
      <c r="DE26" s="301"/>
      <c r="DF26" s="301"/>
      <c r="DG26" s="301"/>
      <c r="DH26" s="301"/>
      <c r="DI26" s="301"/>
      <c r="DJ26" s="301"/>
      <c r="DL26" s="8"/>
      <c r="EE26" s="8"/>
      <c r="EF26" s="8"/>
      <c r="EG26" s="693"/>
      <c r="EH26" s="694"/>
      <c r="EI26" s="699"/>
      <c r="EJ26" s="699"/>
      <c r="EK26" s="699"/>
      <c r="EL26" s="699"/>
      <c r="EM26" s="699"/>
      <c r="EN26" s="699"/>
      <c r="EO26" s="699"/>
      <c r="EP26" s="699"/>
      <c r="EQ26" s="699"/>
      <c r="ER26" s="699"/>
      <c r="ES26" s="699"/>
      <c r="ET26" s="699"/>
      <c r="EU26" s="699"/>
      <c r="EV26" s="699"/>
      <c r="EW26" s="699"/>
      <c r="EX26" s="700"/>
      <c r="EY26" s="8"/>
      <c r="EZ26" s="8"/>
      <c r="FS26" s="8"/>
    </row>
    <row r="27" spans="2:175" ht="13.5" customHeight="1" thickBot="1">
      <c r="B27" s="686" t="s">
        <v>524</v>
      </c>
      <c r="C27" s="686"/>
      <c r="D27" s="686"/>
      <c r="E27" s="686"/>
      <c r="F27" s="686"/>
      <c r="G27" s="686"/>
      <c r="H27" s="686"/>
      <c r="I27" s="686"/>
      <c r="J27" s="686"/>
      <c r="X27" s="686" t="s">
        <v>510</v>
      </c>
      <c r="Y27" s="686"/>
      <c r="Z27" s="686"/>
      <c r="AA27" s="686"/>
      <c r="AB27" s="686"/>
      <c r="AC27" s="686"/>
      <c r="AD27" s="686"/>
      <c r="AE27" s="686"/>
      <c r="AF27" s="686"/>
      <c r="AI27" s="301"/>
      <c r="AJ27" s="301"/>
      <c r="AK27" s="301"/>
      <c r="AL27" s="301"/>
      <c r="AM27" s="301"/>
      <c r="AN27" s="301"/>
      <c r="AO27" s="301"/>
      <c r="AP27" s="301"/>
      <c r="AQ27" s="301"/>
      <c r="AR27" s="301"/>
      <c r="AS27" s="301"/>
      <c r="AT27" s="301"/>
      <c r="AU27" s="301"/>
      <c r="AV27" s="301"/>
      <c r="AW27" s="301"/>
      <c r="AX27" s="301"/>
      <c r="AY27" s="301"/>
      <c r="AZ27" s="301"/>
      <c r="BC27" s="686" t="s">
        <v>511</v>
      </c>
      <c r="BD27" s="686"/>
      <c r="BE27" s="686"/>
      <c r="BF27" s="686"/>
      <c r="BG27" s="686"/>
      <c r="BH27" s="686"/>
      <c r="BI27" s="686"/>
      <c r="BJ27" s="686"/>
      <c r="BK27" s="686"/>
      <c r="BN27" s="301"/>
      <c r="BO27" s="301"/>
      <c r="BP27" s="301"/>
      <c r="BQ27" s="301"/>
      <c r="BR27" s="301"/>
      <c r="BS27" s="301"/>
      <c r="BT27" s="301"/>
      <c r="BU27" s="301"/>
      <c r="BV27" s="301"/>
      <c r="BW27" s="301"/>
      <c r="BX27" s="301"/>
      <c r="BY27" s="301"/>
      <c r="BZ27" s="301"/>
      <c r="CA27" s="301"/>
      <c r="CB27" s="301"/>
      <c r="CC27" s="301"/>
      <c r="CD27" s="301"/>
      <c r="CE27" s="301"/>
      <c r="CH27" s="686" t="str">
        <f>IF('측정자 입력파일'!B26&lt;&gt;"", "3차 컨설팅 보고서", IF('측정자 입력파일'!B25&lt;&gt;"", "2차 컨설팅 보고서", IF('측정자 입력파일'!B24&lt;&gt;"", "1차 컨설팅 보고서", "")))</f>
        <v>1차 컨설팅 보고서</v>
      </c>
      <c r="CI27" s="686"/>
      <c r="CJ27" s="686"/>
      <c r="CK27" s="686"/>
      <c r="CL27" s="686"/>
      <c r="CM27" s="686"/>
      <c r="CN27" s="686"/>
      <c r="CO27" s="686"/>
      <c r="CP27" s="686"/>
      <c r="CS27" s="301"/>
      <c r="CT27" s="301"/>
      <c r="CU27" s="301"/>
      <c r="CV27" s="301"/>
      <c r="CW27" s="301"/>
      <c r="CX27" s="301"/>
      <c r="CY27" s="301"/>
      <c r="CZ27" s="301"/>
      <c r="DA27" s="301"/>
      <c r="DB27" s="301"/>
      <c r="DC27" s="301"/>
      <c r="DD27" s="301"/>
      <c r="DE27" s="301"/>
      <c r="DF27" s="301"/>
      <c r="DG27" s="301"/>
      <c r="DH27" s="301"/>
      <c r="DI27" s="301"/>
      <c r="DJ27" s="301"/>
      <c r="DL27" s="8"/>
      <c r="DM27" s="687" t="s">
        <v>52</v>
      </c>
      <c r="DN27" s="688"/>
      <c r="DO27" s="360" t="s">
        <v>53</v>
      </c>
      <c r="DP27" s="361"/>
      <c r="DQ27" s="361"/>
      <c r="DR27" s="361"/>
      <c r="DS27" s="361"/>
      <c r="DT27" s="361"/>
      <c r="DU27" s="361"/>
      <c r="DV27" s="361"/>
      <c r="DW27" s="361"/>
      <c r="DX27" s="361"/>
      <c r="DY27" s="361"/>
      <c r="DZ27" s="361"/>
      <c r="EA27" s="361"/>
      <c r="EB27" s="361"/>
      <c r="EC27" s="11">
        <f>'보고서 데이터'!AN36</f>
        <v>14</v>
      </c>
      <c r="ED27" s="12"/>
      <c r="EE27" s="8"/>
      <c r="EF27" s="8"/>
      <c r="EG27" s="693"/>
      <c r="EH27" s="694"/>
      <c r="EI27" s="699"/>
      <c r="EJ27" s="699"/>
      <c r="EK27" s="699"/>
      <c r="EL27" s="699"/>
      <c r="EM27" s="699"/>
      <c r="EN27" s="699"/>
      <c r="EO27" s="699"/>
      <c r="EP27" s="699"/>
      <c r="EQ27" s="699"/>
      <c r="ER27" s="699"/>
      <c r="ES27" s="699"/>
      <c r="ET27" s="699"/>
      <c r="EU27" s="699"/>
      <c r="EV27" s="699"/>
      <c r="EW27" s="699"/>
      <c r="EX27" s="700"/>
      <c r="EY27" s="8"/>
      <c r="EZ27" s="8"/>
      <c r="FS27" s="8"/>
    </row>
    <row r="28" spans="2:175" ht="13.5" customHeight="1" thickBot="1">
      <c r="B28" s="686"/>
      <c r="C28" s="686"/>
      <c r="D28" s="686"/>
      <c r="E28" s="686"/>
      <c r="F28" s="686"/>
      <c r="G28" s="686"/>
      <c r="H28" s="686"/>
      <c r="I28" s="686"/>
      <c r="J28" s="686"/>
      <c r="X28" s="686"/>
      <c r="Y28" s="686"/>
      <c r="Z28" s="686"/>
      <c r="AA28" s="686"/>
      <c r="AB28" s="686"/>
      <c r="AC28" s="686"/>
      <c r="AD28" s="686"/>
      <c r="AE28" s="686"/>
      <c r="AF28" s="686"/>
      <c r="AI28" s="301"/>
      <c r="AJ28" s="301"/>
      <c r="AK28" s="301"/>
      <c r="AL28" s="301"/>
      <c r="AM28" s="301"/>
      <c r="AN28" s="301"/>
      <c r="AO28" s="301"/>
      <c r="AP28" s="301"/>
      <c r="AQ28" s="301"/>
      <c r="AR28" s="301"/>
      <c r="AS28" s="301"/>
      <c r="AT28" s="301"/>
      <c r="AU28" s="301"/>
      <c r="AV28" s="301"/>
      <c r="AW28" s="301"/>
      <c r="AX28" s="301"/>
      <c r="AY28" s="301"/>
      <c r="AZ28" s="301"/>
      <c r="BC28" s="686"/>
      <c r="BD28" s="686"/>
      <c r="BE28" s="686"/>
      <c r="BF28" s="686"/>
      <c r="BG28" s="686"/>
      <c r="BH28" s="686"/>
      <c r="BI28" s="686"/>
      <c r="BJ28" s="686"/>
      <c r="BK28" s="686"/>
      <c r="BN28" s="301"/>
      <c r="BO28" s="301"/>
      <c r="BP28" s="301"/>
      <c r="BQ28" s="301"/>
      <c r="BR28" s="301"/>
      <c r="BS28" s="301"/>
      <c r="BT28" s="301"/>
      <c r="BU28" s="301"/>
      <c r="BV28" s="301"/>
      <c r="BW28" s="301"/>
      <c r="BX28" s="301"/>
      <c r="BY28" s="301"/>
      <c r="BZ28" s="301"/>
      <c r="CA28" s="301"/>
      <c r="CB28" s="301"/>
      <c r="CC28" s="301"/>
      <c r="CD28" s="301"/>
      <c r="CE28" s="301"/>
      <c r="CH28" s="686"/>
      <c r="CI28" s="686"/>
      <c r="CJ28" s="686"/>
      <c r="CK28" s="686"/>
      <c r="CL28" s="686"/>
      <c r="CM28" s="686"/>
      <c r="CN28" s="686"/>
      <c r="CO28" s="686"/>
      <c r="CP28" s="686"/>
      <c r="CS28" s="301"/>
      <c r="CT28" s="301"/>
      <c r="CU28" s="301"/>
      <c r="CV28" s="301"/>
      <c r="CW28" s="301"/>
      <c r="CX28" s="301"/>
      <c r="CY28" s="301"/>
      <c r="CZ28" s="301"/>
      <c r="DA28" s="301"/>
      <c r="DB28" s="301"/>
      <c r="DC28" s="301"/>
      <c r="DD28" s="301"/>
      <c r="DE28" s="301"/>
      <c r="DF28" s="301"/>
      <c r="DG28" s="301"/>
      <c r="DH28" s="301"/>
      <c r="DI28" s="301"/>
      <c r="DJ28" s="301"/>
      <c r="DL28" s="8"/>
      <c r="DM28" s="689"/>
      <c r="DN28" s="690"/>
      <c r="DO28" s="707" t="s">
        <v>63</v>
      </c>
      <c r="DP28" s="721"/>
      <c r="DQ28" s="14" t="s">
        <v>64</v>
      </c>
      <c r="DR28" s="14"/>
      <c r="DS28" s="14"/>
      <c r="DT28" s="14"/>
      <c r="DU28" s="14"/>
      <c r="DV28" s="14"/>
      <c r="DW28" s="14"/>
      <c r="DX28" s="14"/>
      <c r="DY28" s="14"/>
      <c r="DZ28" s="14"/>
      <c r="EA28" s="14"/>
      <c r="EB28" s="14"/>
      <c r="EC28" s="18">
        <f>IF('측정자 입력파일'!D22="O",SUM('측정자 입력파일'!Z15:Z16),'측정자 입력파일'!Z17)</f>
        <v>1</v>
      </c>
      <c r="ED28" s="365"/>
      <c r="EE28" s="8"/>
      <c r="EF28" s="8"/>
      <c r="EG28" s="695"/>
      <c r="EH28" s="696"/>
      <c r="EI28" s="701"/>
      <c r="EJ28" s="701"/>
      <c r="EK28" s="701"/>
      <c r="EL28" s="701"/>
      <c r="EM28" s="701"/>
      <c r="EN28" s="701"/>
      <c r="EO28" s="701"/>
      <c r="EP28" s="701"/>
      <c r="EQ28" s="701"/>
      <c r="ER28" s="701"/>
      <c r="ES28" s="701"/>
      <c r="ET28" s="701"/>
      <c r="EU28" s="701"/>
      <c r="EV28" s="701"/>
      <c r="EW28" s="701"/>
      <c r="EX28" s="702"/>
      <c r="EY28" s="8"/>
      <c r="EZ28" s="8"/>
      <c r="FA28" s="687" t="s">
        <v>59</v>
      </c>
      <c r="FB28" s="688"/>
      <c r="FC28" s="360" t="s">
        <v>60</v>
      </c>
      <c r="FD28" s="361"/>
      <c r="FE28" s="361"/>
      <c r="FF28" s="361"/>
      <c r="FG28" s="361"/>
      <c r="FH28" s="361"/>
      <c r="FI28" s="361"/>
      <c r="FJ28" s="361"/>
      <c r="FK28" s="361"/>
      <c r="FL28" s="361"/>
      <c r="FM28" s="361"/>
      <c r="FN28" s="361"/>
      <c r="FO28" s="361"/>
      <c r="FP28" s="361"/>
      <c r="FQ28" s="11">
        <f>'보고서 데이터'!AN47</f>
        <v>10</v>
      </c>
      <c r="FR28" s="12"/>
      <c r="FS28" s="8"/>
    </row>
    <row r="29" spans="2:175" ht="13.5" customHeight="1">
      <c r="B29" s="686"/>
      <c r="C29" s="686"/>
      <c r="D29" s="686"/>
      <c r="E29" s="686"/>
      <c r="F29" s="686"/>
      <c r="G29" s="686"/>
      <c r="H29" s="686"/>
      <c r="I29" s="686"/>
      <c r="J29" s="686"/>
      <c r="X29" s="686"/>
      <c r="Y29" s="686"/>
      <c r="Z29" s="686"/>
      <c r="AA29" s="686"/>
      <c r="AB29" s="686"/>
      <c r="AC29" s="686"/>
      <c r="AD29" s="686"/>
      <c r="AE29" s="686"/>
      <c r="AF29" s="686"/>
      <c r="AI29" s="301"/>
      <c r="AJ29" s="301"/>
      <c r="AK29" s="301"/>
      <c r="AL29" s="301"/>
      <c r="AM29" s="301"/>
      <c r="AN29" s="301"/>
      <c r="AO29" s="301"/>
      <c r="AP29" s="301"/>
      <c r="AQ29" s="301"/>
      <c r="AR29" s="301"/>
      <c r="AS29" s="301"/>
      <c r="AT29" s="301"/>
      <c r="AU29" s="301"/>
      <c r="AV29" s="301"/>
      <c r="AW29" s="301"/>
      <c r="AX29" s="301"/>
      <c r="AY29" s="301"/>
      <c r="AZ29" s="301"/>
      <c r="BC29" s="686"/>
      <c r="BD29" s="686"/>
      <c r="BE29" s="686"/>
      <c r="BF29" s="686"/>
      <c r="BG29" s="686"/>
      <c r="BH29" s="686"/>
      <c r="BI29" s="686"/>
      <c r="BJ29" s="686"/>
      <c r="BK29" s="686"/>
      <c r="BN29" s="301"/>
      <c r="BO29" s="301"/>
      <c r="BP29" s="301"/>
      <c r="BQ29" s="301"/>
      <c r="BR29" s="301"/>
      <c r="BS29" s="301"/>
      <c r="BT29" s="301"/>
      <c r="BU29" s="301"/>
      <c r="BV29" s="301"/>
      <c r="BW29" s="301"/>
      <c r="BX29" s="301"/>
      <c r="BY29" s="301"/>
      <c r="BZ29" s="301"/>
      <c r="CA29" s="301"/>
      <c r="CB29" s="301"/>
      <c r="CC29" s="301"/>
      <c r="CD29" s="301"/>
      <c r="CE29" s="301"/>
      <c r="CH29" s="686"/>
      <c r="CI29" s="686"/>
      <c r="CJ29" s="686"/>
      <c r="CK29" s="686"/>
      <c r="CL29" s="686"/>
      <c r="CM29" s="686"/>
      <c r="CN29" s="686"/>
      <c r="CO29" s="686"/>
      <c r="CP29" s="686"/>
      <c r="CS29" s="301"/>
      <c r="CT29" s="301"/>
      <c r="CU29" s="301"/>
      <c r="CV29" s="301"/>
      <c r="CW29" s="301"/>
      <c r="CX29" s="301"/>
      <c r="CY29" s="301"/>
      <c r="CZ29" s="301"/>
      <c r="DA29" s="301"/>
      <c r="DB29" s="301"/>
      <c r="DC29" s="301"/>
      <c r="DD29" s="301"/>
      <c r="DE29" s="301"/>
      <c r="DF29" s="301"/>
      <c r="DG29" s="301"/>
      <c r="DH29" s="301"/>
      <c r="DI29" s="301"/>
      <c r="DJ29" s="301"/>
      <c r="DL29" s="8"/>
      <c r="DM29" s="689"/>
      <c r="DN29" s="690"/>
      <c r="DO29" s="709"/>
      <c r="DP29" s="722"/>
      <c r="DQ29" s="19" t="s">
        <v>70</v>
      </c>
      <c r="DR29" s="19"/>
      <c r="DS29" s="19"/>
      <c r="DT29" s="19"/>
      <c r="DU29" s="19"/>
      <c r="DV29" s="19"/>
      <c r="DW29" s="19"/>
      <c r="DX29" s="19"/>
      <c r="DY29" s="19"/>
      <c r="DZ29" s="19"/>
      <c r="EA29" s="19"/>
      <c r="EB29" s="19"/>
      <c r="EC29" s="28">
        <f>'측정자 입력파일'!Z18</f>
        <v>1</v>
      </c>
      <c r="ED29" s="366"/>
      <c r="EE29" s="8"/>
      <c r="EF29" s="8"/>
      <c r="EY29" s="8"/>
      <c r="EZ29" s="8"/>
      <c r="FA29" s="689"/>
      <c r="FB29" s="690"/>
      <c r="FC29" s="14" t="s">
        <v>67</v>
      </c>
      <c r="FD29" s="14"/>
      <c r="FE29" s="14"/>
      <c r="FF29" s="14"/>
      <c r="FG29" s="14"/>
      <c r="FH29" s="14"/>
      <c r="FI29" s="14"/>
      <c r="FJ29" s="14"/>
      <c r="FK29" s="14"/>
      <c r="FL29" s="14"/>
      <c r="FM29" s="14"/>
      <c r="FN29" s="14"/>
      <c r="FO29" s="14"/>
      <c r="FP29" s="14"/>
      <c r="FQ29" s="18">
        <f>'측정자 입력파일'!X48</f>
        <v>5</v>
      </c>
      <c r="FR29" s="362"/>
      <c r="FS29" s="8"/>
    </row>
    <row r="30" spans="2:175" ht="13.5" customHeight="1" thickBot="1">
      <c r="B30" s="686"/>
      <c r="C30" s="686"/>
      <c r="D30" s="686"/>
      <c r="E30" s="686"/>
      <c r="F30" s="686"/>
      <c r="G30" s="686"/>
      <c r="H30" s="686"/>
      <c r="I30" s="686"/>
      <c r="J30" s="686"/>
      <c r="X30" s="686"/>
      <c r="Y30" s="686"/>
      <c r="Z30" s="686"/>
      <c r="AA30" s="686"/>
      <c r="AB30" s="686"/>
      <c r="AC30" s="686"/>
      <c r="AD30" s="686"/>
      <c r="AE30" s="686"/>
      <c r="AF30" s="686"/>
      <c r="AI30" s="301"/>
      <c r="AJ30" s="301"/>
      <c r="AK30" s="301"/>
      <c r="AL30" s="301"/>
      <c r="AM30" s="301"/>
      <c r="AN30" s="301"/>
      <c r="AO30" s="301"/>
      <c r="AP30" s="301"/>
      <c r="AQ30" s="301"/>
      <c r="AR30" s="301"/>
      <c r="AS30" s="301"/>
      <c r="AT30" s="301"/>
      <c r="AU30" s="301"/>
      <c r="AV30" s="301"/>
      <c r="AW30" s="301"/>
      <c r="AX30" s="301"/>
      <c r="AY30" s="301"/>
      <c r="AZ30" s="301"/>
      <c r="BC30" s="686"/>
      <c r="BD30" s="686"/>
      <c r="BE30" s="686"/>
      <c r="BF30" s="686"/>
      <c r="BG30" s="686"/>
      <c r="BH30" s="686"/>
      <c r="BI30" s="686"/>
      <c r="BJ30" s="686"/>
      <c r="BK30" s="686"/>
      <c r="BN30" s="301"/>
      <c r="BO30" s="301"/>
      <c r="BP30" s="301"/>
      <c r="BQ30" s="301"/>
      <c r="BR30" s="301"/>
      <c r="BS30" s="301"/>
      <c r="BT30" s="301"/>
      <c r="BU30" s="301"/>
      <c r="BV30" s="301"/>
      <c r="BW30" s="301"/>
      <c r="BX30" s="301"/>
      <c r="BY30" s="301"/>
      <c r="BZ30" s="301"/>
      <c r="CA30" s="301"/>
      <c r="CB30" s="301"/>
      <c r="CC30" s="301"/>
      <c r="CD30" s="301"/>
      <c r="CE30" s="301"/>
      <c r="CH30" s="686"/>
      <c r="CI30" s="686"/>
      <c r="CJ30" s="686"/>
      <c r="CK30" s="686"/>
      <c r="CL30" s="686"/>
      <c r="CM30" s="686"/>
      <c r="CN30" s="686"/>
      <c r="CO30" s="686"/>
      <c r="CP30" s="686"/>
      <c r="CS30" s="301"/>
      <c r="CT30" s="301"/>
      <c r="CU30" s="301"/>
      <c r="CV30" s="301"/>
      <c r="CW30" s="301"/>
      <c r="CX30" s="301"/>
      <c r="CY30" s="301"/>
      <c r="CZ30" s="301"/>
      <c r="DA30" s="301"/>
      <c r="DB30" s="301"/>
      <c r="DC30" s="301"/>
      <c r="DD30" s="301"/>
      <c r="DE30" s="301"/>
      <c r="DF30" s="301"/>
      <c r="DG30" s="301"/>
      <c r="DH30" s="301"/>
      <c r="DI30" s="301"/>
      <c r="DJ30" s="301"/>
      <c r="DL30" s="8"/>
      <c r="DM30" s="689"/>
      <c r="DN30" s="690"/>
      <c r="DO30" s="723"/>
      <c r="DP30" s="724"/>
      <c r="DQ30" s="19" t="s">
        <v>77</v>
      </c>
      <c r="DR30" s="19"/>
      <c r="DS30" s="19"/>
      <c r="DT30" s="19"/>
      <c r="DU30" s="19"/>
      <c r="DV30" s="19"/>
      <c r="DW30" s="19"/>
      <c r="DX30" s="19"/>
      <c r="DY30" s="19"/>
      <c r="DZ30" s="19"/>
      <c r="EA30" s="19"/>
      <c r="EB30" s="19"/>
      <c r="EC30" s="28">
        <f>'측정자 입력파일'!Z19</f>
        <v>2</v>
      </c>
      <c r="ED30" s="366"/>
      <c r="EE30" s="8"/>
      <c r="EF30" s="8"/>
      <c r="EY30" s="8"/>
      <c r="EZ30" s="8"/>
      <c r="FA30" s="689"/>
      <c r="FB30" s="690"/>
      <c r="FC30" s="22" t="s">
        <v>73</v>
      </c>
      <c r="FD30" s="23"/>
      <c r="FE30" s="24"/>
      <c r="FF30" s="24"/>
      <c r="FG30" s="24"/>
      <c r="FH30" s="24"/>
      <c r="FI30" s="24"/>
      <c r="FJ30" s="24"/>
      <c r="FK30" s="24"/>
      <c r="FL30" s="24"/>
      <c r="FM30" s="24"/>
      <c r="FN30" s="24"/>
      <c r="FO30" s="24"/>
      <c r="FP30" s="24"/>
      <c r="FQ30" s="25">
        <f>'측정자 입력파일'!X49</f>
        <v>5</v>
      </c>
      <c r="FR30" s="364"/>
      <c r="FS30" s="8"/>
    </row>
    <row r="31" spans="2:175" ht="13.5" customHeight="1" thickBot="1">
      <c r="B31" s="686"/>
      <c r="C31" s="686"/>
      <c r="D31" s="686"/>
      <c r="E31" s="686"/>
      <c r="F31" s="686"/>
      <c r="G31" s="686"/>
      <c r="H31" s="686"/>
      <c r="I31" s="686"/>
      <c r="J31" s="686"/>
      <c r="X31" s="686"/>
      <c r="Y31" s="686"/>
      <c r="Z31" s="686"/>
      <c r="AA31" s="686"/>
      <c r="AB31" s="686"/>
      <c r="AC31" s="686"/>
      <c r="AD31" s="686"/>
      <c r="AE31" s="686"/>
      <c r="AF31" s="686"/>
      <c r="AI31" s="301"/>
      <c r="AJ31" s="301"/>
      <c r="AK31" s="301"/>
      <c r="AL31" s="301"/>
      <c r="AM31" s="301"/>
      <c r="AN31" s="301"/>
      <c r="AO31" s="301"/>
      <c r="AP31" s="301"/>
      <c r="AQ31" s="301"/>
      <c r="AR31" s="301"/>
      <c r="AS31" s="301"/>
      <c r="AT31" s="301"/>
      <c r="AU31" s="301"/>
      <c r="AV31" s="301"/>
      <c r="AW31" s="301"/>
      <c r="AX31" s="301"/>
      <c r="AY31" s="301"/>
      <c r="AZ31" s="301"/>
      <c r="BC31" s="686"/>
      <c r="BD31" s="686"/>
      <c r="BE31" s="686"/>
      <c r="BF31" s="686"/>
      <c r="BG31" s="686"/>
      <c r="BH31" s="686"/>
      <c r="BI31" s="686"/>
      <c r="BJ31" s="686"/>
      <c r="BK31" s="686"/>
      <c r="BN31" s="301"/>
      <c r="BO31" s="301"/>
      <c r="BP31" s="301"/>
      <c r="BQ31" s="301"/>
      <c r="BR31" s="301"/>
      <c r="BS31" s="301"/>
      <c r="BT31" s="301"/>
      <c r="BU31" s="301"/>
      <c r="BV31" s="301"/>
      <c r="BW31" s="301"/>
      <c r="BX31" s="301"/>
      <c r="BY31" s="301"/>
      <c r="BZ31" s="301"/>
      <c r="CA31" s="301"/>
      <c r="CB31" s="301"/>
      <c r="CC31" s="301"/>
      <c r="CD31" s="301"/>
      <c r="CE31" s="301"/>
      <c r="CH31" s="686"/>
      <c r="CI31" s="686"/>
      <c r="CJ31" s="686"/>
      <c r="CK31" s="686"/>
      <c r="CL31" s="686"/>
      <c r="CM31" s="686"/>
      <c r="CN31" s="686"/>
      <c r="CO31" s="686"/>
      <c r="CP31" s="686"/>
      <c r="CS31" s="301"/>
      <c r="CT31" s="301"/>
      <c r="CU31" s="301"/>
      <c r="CV31" s="301"/>
      <c r="CW31" s="301"/>
      <c r="CX31" s="301"/>
      <c r="CY31" s="301"/>
      <c r="CZ31" s="301"/>
      <c r="DA31" s="301"/>
      <c r="DB31" s="301"/>
      <c r="DC31" s="301"/>
      <c r="DD31" s="301"/>
      <c r="DE31" s="301"/>
      <c r="DF31" s="301"/>
      <c r="DG31" s="301"/>
      <c r="DH31" s="301"/>
      <c r="DI31" s="301"/>
      <c r="DJ31" s="301"/>
      <c r="DL31" s="8"/>
      <c r="DM31" s="689"/>
      <c r="DN31" s="690"/>
      <c r="DO31" s="26" t="s">
        <v>80</v>
      </c>
      <c r="DP31" s="27"/>
      <c r="DQ31" s="24" t="s">
        <v>81</v>
      </c>
      <c r="DR31" s="24"/>
      <c r="DS31" s="24"/>
      <c r="DT31" s="24"/>
      <c r="DU31" s="24"/>
      <c r="DV31" s="24"/>
      <c r="DW31" s="24"/>
      <c r="DX31" s="24"/>
      <c r="DY31" s="24"/>
      <c r="DZ31" s="24"/>
      <c r="EA31" s="24"/>
      <c r="EB31" s="24"/>
      <c r="EC31" s="25">
        <f>'측정자 입력파일'!Z20</f>
        <v>10</v>
      </c>
      <c r="ED31" s="367"/>
      <c r="EE31" s="8"/>
      <c r="EF31" s="8"/>
      <c r="EG31" s="687" t="s">
        <v>57</v>
      </c>
      <c r="EH31" s="747"/>
      <c r="EI31" s="371" t="s">
        <v>58</v>
      </c>
      <c r="EJ31" s="9"/>
      <c r="EK31" s="9"/>
      <c r="EL31" s="9"/>
      <c r="EM31" s="9"/>
      <c r="EN31" s="9"/>
      <c r="EO31" s="9"/>
      <c r="EP31" s="9"/>
      <c r="EQ31" s="9"/>
      <c r="ER31" s="9"/>
      <c r="ES31" s="9"/>
      <c r="ET31" s="9"/>
      <c r="EU31" s="9"/>
      <c r="EV31" s="361"/>
      <c r="EW31" s="11">
        <f>'측정자 입력파일'!AA34</f>
        <v>8</v>
      </c>
      <c r="EX31" s="12"/>
      <c r="EY31" s="8"/>
      <c r="EZ31" s="8"/>
      <c r="FA31" s="691" t="s">
        <v>76</v>
      </c>
      <c r="FB31" s="726"/>
      <c r="FC31" s="729" t="str">
        <f>'측정자 입력파일'!AD48</f>
        <v>과정의 혁신(5점), 혁신의 결과(5점)로 총 10점 획득함. 혁신활동이 우수하게 평가되었으나, 지속적인 성과 관리와 기록 체계 마련 필요.</v>
      </c>
      <c r="FD31" s="697"/>
      <c r="FE31" s="697"/>
      <c r="FF31" s="697"/>
      <c r="FG31" s="697"/>
      <c r="FH31" s="697"/>
      <c r="FI31" s="697"/>
      <c r="FJ31" s="697"/>
      <c r="FK31" s="697"/>
      <c r="FL31" s="697"/>
      <c r="FM31" s="697"/>
      <c r="FN31" s="697"/>
      <c r="FO31" s="697"/>
      <c r="FP31" s="697"/>
      <c r="FQ31" s="697"/>
      <c r="FR31" s="698"/>
      <c r="FS31" s="8"/>
    </row>
    <row r="32" spans="2:175" ht="13.5" customHeight="1">
      <c r="B32" s="686"/>
      <c r="C32" s="686"/>
      <c r="D32" s="686"/>
      <c r="E32" s="686"/>
      <c r="F32" s="686"/>
      <c r="G32" s="686"/>
      <c r="H32" s="686"/>
      <c r="I32" s="686"/>
      <c r="J32" s="686"/>
      <c r="X32" s="686"/>
      <c r="Y32" s="686"/>
      <c r="Z32" s="686"/>
      <c r="AA32" s="686"/>
      <c r="AB32" s="686"/>
      <c r="AC32" s="686"/>
      <c r="AD32" s="686"/>
      <c r="AE32" s="686"/>
      <c r="AF32" s="686"/>
      <c r="AI32" s="301"/>
      <c r="AJ32" s="301"/>
      <c r="AK32" s="301"/>
      <c r="AL32" s="301"/>
      <c r="AM32" s="301"/>
      <c r="AN32" s="301"/>
      <c r="AO32" s="301"/>
      <c r="AP32" s="301"/>
      <c r="AQ32" s="301"/>
      <c r="AR32" s="301"/>
      <c r="AS32" s="301"/>
      <c r="AT32" s="301"/>
      <c r="AU32" s="301"/>
      <c r="AV32" s="301"/>
      <c r="AW32" s="301"/>
      <c r="AX32" s="301"/>
      <c r="AY32" s="301"/>
      <c r="AZ32" s="301"/>
      <c r="BC32" s="686"/>
      <c r="BD32" s="686"/>
      <c r="BE32" s="686"/>
      <c r="BF32" s="686"/>
      <c r="BG32" s="686"/>
      <c r="BH32" s="686"/>
      <c r="BI32" s="686"/>
      <c r="BJ32" s="686"/>
      <c r="BK32" s="686"/>
      <c r="BN32" s="301"/>
      <c r="BO32" s="301"/>
      <c r="BP32" s="301"/>
      <c r="BQ32" s="301"/>
      <c r="BR32" s="301"/>
      <c r="BS32" s="301"/>
      <c r="BT32" s="301"/>
      <c r="BU32" s="301"/>
      <c r="BV32" s="301"/>
      <c r="BW32" s="301"/>
      <c r="BX32" s="301"/>
      <c r="BY32" s="301"/>
      <c r="BZ32" s="301"/>
      <c r="CA32" s="301"/>
      <c r="CB32" s="301"/>
      <c r="CC32" s="301"/>
      <c r="CD32" s="301"/>
      <c r="CE32" s="301"/>
      <c r="CH32" s="686"/>
      <c r="CI32" s="686"/>
      <c r="CJ32" s="686"/>
      <c r="CK32" s="686"/>
      <c r="CL32" s="686"/>
      <c r="CM32" s="686"/>
      <c r="CN32" s="686"/>
      <c r="CO32" s="686"/>
      <c r="CP32" s="686"/>
      <c r="CS32" s="301"/>
      <c r="CT32" s="301"/>
      <c r="CU32" s="301"/>
      <c r="CV32" s="301"/>
      <c r="CW32" s="301"/>
      <c r="CX32" s="301"/>
      <c r="CY32" s="301"/>
      <c r="CZ32" s="301"/>
      <c r="DA32" s="301"/>
      <c r="DB32" s="301"/>
      <c r="DC32" s="301"/>
      <c r="DD32" s="301"/>
      <c r="DE32" s="301"/>
      <c r="DF32" s="301"/>
      <c r="DG32" s="301"/>
      <c r="DH32" s="301"/>
      <c r="DI32" s="301"/>
      <c r="DJ32" s="301"/>
      <c r="DL32" s="8"/>
      <c r="DM32" s="691" t="s">
        <v>76</v>
      </c>
      <c r="DN32" s="692"/>
      <c r="DO32" s="697" t="str">
        <f>'측정자 입력파일'!AD15</f>
        <v>취약계층 고용율이 동종업종 대비 낮은편이며, 해당부분을 보완할 수 있도록 기업내부에서 취약계층 고용율 개선을 위해 노력 필요하며, 외부운영의 사회적가치 실현 수준은 매우 우수한 편임.</v>
      </c>
      <c r="DP32" s="697"/>
      <c r="DQ32" s="697"/>
      <c r="DR32" s="697"/>
      <c r="DS32" s="697"/>
      <c r="DT32" s="697"/>
      <c r="DU32" s="697"/>
      <c r="DV32" s="697"/>
      <c r="DW32" s="697"/>
      <c r="DX32" s="697"/>
      <c r="DY32" s="697"/>
      <c r="DZ32" s="697"/>
      <c r="EA32" s="697"/>
      <c r="EB32" s="697"/>
      <c r="EC32" s="697"/>
      <c r="ED32" s="698"/>
      <c r="EE32" s="8"/>
      <c r="EF32" s="8"/>
      <c r="EG32" s="689"/>
      <c r="EH32" s="748"/>
      <c r="EI32" s="16" t="s">
        <v>66</v>
      </c>
      <c r="EJ32" s="17"/>
      <c r="EK32" s="17"/>
      <c r="EL32" s="17"/>
      <c r="EM32" s="17"/>
      <c r="EN32" s="17"/>
      <c r="EO32" s="17"/>
      <c r="EP32" s="17"/>
      <c r="EQ32" s="17"/>
      <c r="ER32" s="17"/>
      <c r="ES32" s="17"/>
      <c r="ET32" s="17"/>
      <c r="EU32" s="346">
        <f>'측정자 입력파일'!Y34</f>
        <v>17535.940783986654</v>
      </c>
      <c r="EV32" s="347"/>
      <c r="EW32" s="348"/>
      <c r="EX32" s="376"/>
      <c r="EY32" s="8"/>
      <c r="EZ32" s="8"/>
      <c r="FA32" s="693"/>
      <c r="FB32" s="727"/>
      <c r="FC32" s="730"/>
      <c r="FD32" s="699"/>
      <c r="FE32" s="699"/>
      <c r="FF32" s="699"/>
      <c r="FG32" s="699"/>
      <c r="FH32" s="699"/>
      <c r="FI32" s="699"/>
      <c r="FJ32" s="699"/>
      <c r="FK32" s="699"/>
      <c r="FL32" s="699"/>
      <c r="FM32" s="699"/>
      <c r="FN32" s="699"/>
      <c r="FO32" s="699"/>
      <c r="FP32" s="699"/>
      <c r="FQ32" s="699"/>
      <c r="FR32" s="700"/>
      <c r="FS32" s="8"/>
    </row>
    <row r="33" spans="2:175" ht="13.5" customHeight="1">
      <c r="B33" s="686"/>
      <c r="C33" s="686"/>
      <c r="D33" s="686"/>
      <c r="E33" s="686"/>
      <c r="F33" s="686"/>
      <c r="G33" s="686"/>
      <c r="H33" s="686"/>
      <c r="I33" s="686"/>
      <c r="J33" s="686"/>
      <c r="X33" s="686"/>
      <c r="Y33" s="686"/>
      <c r="Z33" s="686"/>
      <c r="AA33" s="686"/>
      <c r="AB33" s="686"/>
      <c r="AC33" s="686"/>
      <c r="AD33" s="686"/>
      <c r="AE33" s="686"/>
      <c r="AF33" s="686"/>
      <c r="AI33" s="301"/>
      <c r="AJ33" s="301"/>
      <c r="AK33" s="301"/>
      <c r="AL33" s="301"/>
      <c r="AM33" s="301"/>
      <c r="AN33" s="301"/>
      <c r="AO33" s="301"/>
      <c r="AP33" s="301"/>
      <c r="AQ33" s="301"/>
      <c r="AR33" s="301"/>
      <c r="AS33" s="301"/>
      <c r="AT33" s="301"/>
      <c r="AU33" s="301"/>
      <c r="AV33" s="301"/>
      <c r="AW33" s="301"/>
      <c r="AX33" s="301"/>
      <c r="AY33" s="301"/>
      <c r="AZ33" s="301"/>
      <c r="BC33" s="686"/>
      <c r="BD33" s="686"/>
      <c r="BE33" s="686"/>
      <c r="BF33" s="686"/>
      <c r="BG33" s="686"/>
      <c r="BH33" s="686"/>
      <c r="BI33" s="686"/>
      <c r="BJ33" s="686"/>
      <c r="BK33" s="686"/>
      <c r="BN33" s="301"/>
      <c r="BO33" s="301"/>
      <c r="BP33" s="301"/>
      <c r="BQ33" s="301"/>
      <c r="BR33" s="301"/>
      <c r="BS33" s="301"/>
      <c r="BT33" s="301"/>
      <c r="BU33" s="301"/>
      <c r="BV33" s="301"/>
      <c r="BW33" s="301"/>
      <c r="BX33" s="301"/>
      <c r="BY33" s="301"/>
      <c r="BZ33" s="301"/>
      <c r="CA33" s="301"/>
      <c r="CB33" s="301"/>
      <c r="CC33" s="301"/>
      <c r="CD33" s="301"/>
      <c r="CE33" s="301"/>
      <c r="CH33" s="686"/>
      <c r="CI33" s="686"/>
      <c r="CJ33" s="686"/>
      <c r="CK33" s="686"/>
      <c r="CL33" s="686"/>
      <c r="CM33" s="686"/>
      <c r="CN33" s="686"/>
      <c r="CO33" s="686"/>
      <c r="CP33" s="686"/>
      <c r="CS33" s="301"/>
      <c r="CT33" s="301"/>
      <c r="CU33" s="301"/>
      <c r="CV33" s="301"/>
      <c r="CW33" s="301"/>
      <c r="CX33" s="301"/>
      <c r="CY33" s="301"/>
      <c r="CZ33" s="301"/>
      <c r="DA33" s="301"/>
      <c r="DB33" s="301"/>
      <c r="DC33" s="301"/>
      <c r="DD33" s="301"/>
      <c r="DE33" s="301"/>
      <c r="DF33" s="301"/>
      <c r="DG33" s="301"/>
      <c r="DH33" s="301"/>
      <c r="DI33" s="301"/>
      <c r="DJ33" s="301"/>
      <c r="DL33" s="8"/>
      <c r="DM33" s="693"/>
      <c r="DN33" s="694"/>
      <c r="DO33" s="699"/>
      <c r="DP33" s="699"/>
      <c r="DQ33" s="699"/>
      <c r="DR33" s="699"/>
      <c r="DS33" s="699"/>
      <c r="DT33" s="699"/>
      <c r="DU33" s="699"/>
      <c r="DV33" s="699"/>
      <c r="DW33" s="699"/>
      <c r="DX33" s="699"/>
      <c r="DY33" s="699"/>
      <c r="DZ33" s="699"/>
      <c r="EA33" s="699"/>
      <c r="EB33" s="699"/>
      <c r="EC33" s="699"/>
      <c r="ED33" s="700"/>
      <c r="EE33" s="8"/>
      <c r="EF33" s="8"/>
      <c r="EG33" s="689"/>
      <c r="EH33" s="748"/>
      <c r="EI33" s="333" t="s">
        <v>72</v>
      </c>
      <c r="EJ33" s="334"/>
      <c r="EK33" s="334"/>
      <c r="EL33" s="334"/>
      <c r="EM33" s="334"/>
      <c r="EN33" s="334"/>
      <c r="EO33" s="334"/>
      <c r="EP33" s="334"/>
      <c r="EQ33" s="334"/>
      <c r="ER33" s="334"/>
      <c r="ES33" s="334"/>
      <c r="ET33" s="334"/>
      <c r="EU33" s="349">
        <f>'측정자 입력파일'!AD97</f>
        <v>16643</v>
      </c>
      <c r="EV33" s="349"/>
      <c r="EW33" s="349"/>
      <c r="EX33" s="377"/>
      <c r="EY33" s="8"/>
      <c r="EZ33" s="8"/>
      <c r="FA33" s="693"/>
      <c r="FB33" s="727"/>
      <c r="FC33" s="730"/>
      <c r="FD33" s="699"/>
      <c r="FE33" s="699"/>
      <c r="FF33" s="699"/>
      <c r="FG33" s="699"/>
      <c r="FH33" s="699"/>
      <c r="FI33" s="699"/>
      <c r="FJ33" s="699"/>
      <c r="FK33" s="699"/>
      <c r="FL33" s="699"/>
      <c r="FM33" s="699"/>
      <c r="FN33" s="699"/>
      <c r="FO33" s="699"/>
      <c r="FP33" s="699"/>
      <c r="FQ33" s="699"/>
      <c r="FR33" s="700"/>
      <c r="FS33" s="8"/>
    </row>
    <row r="34" spans="2:175" ht="13.5" customHeight="1">
      <c r="B34" s="686"/>
      <c r="C34" s="686"/>
      <c r="D34" s="686"/>
      <c r="E34" s="686"/>
      <c r="F34" s="686"/>
      <c r="G34" s="686"/>
      <c r="H34" s="686"/>
      <c r="I34" s="686"/>
      <c r="J34" s="686"/>
      <c r="X34" s="686"/>
      <c r="Y34" s="686"/>
      <c r="Z34" s="686"/>
      <c r="AA34" s="686"/>
      <c r="AB34" s="686"/>
      <c r="AC34" s="686"/>
      <c r="AD34" s="686"/>
      <c r="AE34" s="686"/>
      <c r="AF34" s="686"/>
      <c r="AI34" s="301"/>
      <c r="AJ34" s="301"/>
      <c r="AK34" s="301"/>
      <c r="AL34" s="301"/>
      <c r="AM34" s="301"/>
      <c r="AN34" s="301"/>
      <c r="AO34" s="301"/>
      <c r="AP34" s="301"/>
      <c r="AQ34" s="301"/>
      <c r="AR34" s="301"/>
      <c r="AS34" s="301"/>
      <c r="AT34" s="301"/>
      <c r="AU34" s="301"/>
      <c r="AV34" s="301"/>
      <c r="AW34" s="301"/>
      <c r="AX34" s="301"/>
      <c r="AY34" s="301"/>
      <c r="AZ34" s="301"/>
      <c r="BC34" s="686"/>
      <c r="BD34" s="686"/>
      <c r="BE34" s="686"/>
      <c r="BF34" s="686"/>
      <c r="BG34" s="686"/>
      <c r="BH34" s="686"/>
      <c r="BI34" s="686"/>
      <c r="BJ34" s="686"/>
      <c r="BK34" s="686"/>
      <c r="BN34" s="301"/>
      <c r="BO34" s="301"/>
      <c r="BP34" s="301"/>
      <c r="BQ34" s="301"/>
      <c r="BR34" s="301"/>
      <c r="BS34" s="301"/>
      <c r="BT34" s="301"/>
      <c r="BU34" s="301"/>
      <c r="BV34" s="301"/>
      <c r="BW34" s="301"/>
      <c r="BX34" s="301"/>
      <c r="BY34" s="301"/>
      <c r="BZ34" s="301"/>
      <c r="CA34" s="301"/>
      <c r="CB34" s="301"/>
      <c r="CC34" s="301"/>
      <c r="CD34" s="301"/>
      <c r="CE34" s="301"/>
      <c r="CH34" s="686"/>
      <c r="CI34" s="686"/>
      <c r="CJ34" s="686"/>
      <c r="CK34" s="686"/>
      <c r="CL34" s="686"/>
      <c r="CM34" s="686"/>
      <c r="CN34" s="686"/>
      <c r="CO34" s="686"/>
      <c r="CP34" s="686"/>
      <c r="CS34" s="301"/>
      <c r="CT34" s="301"/>
      <c r="CU34" s="301"/>
      <c r="CV34" s="301"/>
      <c r="CW34" s="301"/>
      <c r="CX34" s="301"/>
      <c r="CY34" s="301"/>
      <c r="CZ34" s="301"/>
      <c r="DA34" s="301"/>
      <c r="DB34" s="301"/>
      <c r="DC34" s="301"/>
      <c r="DD34" s="301"/>
      <c r="DE34" s="301"/>
      <c r="DF34" s="301"/>
      <c r="DG34" s="301"/>
      <c r="DH34" s="301"/>
      <c r="DI34" s="301"/>
      <c r="DJ34" s="301"/>
      <c r="DL34" s="8"/>
      <c r="DM34" s="693"/>
      <c r="DN34" s="694"/>
      <c r="DO34" s="699"/>
      <c r="DP34" s="699"/>
      <c r="DQ34" s="699"/>
      <c r="DR34" s="699"/>
      <c r="DS34" s="699"/>
      <c r="DT34" s="699"/>
      <c r="DU34" s="699"/>
      <c r="DV34" s="699"/>
      <c r="DW34" s="699"/>
      <c r="DX34" s="699"/>
      <c r="DY34" s="699"/>
      <c r="DZ34" s="699"/>
      <c r="EA34" s="699"/>
      <c r="EB34" s="699"/>
      <c r="EC34" s="699"/>
      <c r="ED34" s="700"/>
      <c r="EE34" s="8"/>
      <c r="EF34" s="8"/>
      <c r="EG34" s="691" t="s">
        <v>76</v>
      </c>
      <c r="EH34" s="692"/>
      <c r="EI34" s="697" t="str">
        <f>'측정자 입력파일'!AD34</f>
        <v>근로자 평균 시급은 17,536원으로 (8점 만점을 충족함. 근로자 처우 개선에 대한 기업의 노력을 확인할 수 있음</v>
      </c>
      <c r="EJ34" s="697"/>
      <c r="EK34" s="697"/>
      <c r="EL34" s="697"/>
      <c r="EM34" s="697"/>
      <c r="EN34" s="697"/>
      <c r="EO34" s="697"/>
      <c r="EP34" s="697"/>
      <c r="EQ34" s="697"/>
      <c r="ER34" s="697"/>
      <c r="ES34" s="697"/>
      <c r="ET34" s="697"/>
      <c r="EU34" s="697"/>
      <c r="EV34" s="697"/>
      <c r="EW34" s="697"/>
      <c r="EX34" s="698"/>
      <c r="EY34" s="8"/>
      <c r="EZ34" s="8"/>
      <c r="FA34" s="693"/>
      <c r="FB34" s="727"/>
      <c r="FC34" s="730"/>
      <c r="FD34" s="699"/>
      <c r="FE34" s="699"/>
      <c r="FF34" s="699"/>
      <c r="FG34" s="699"/>
      <c r="FH34" s="699"/>
      <c r="FI34" s="699"/>
      <c r="FJ34" s="699"/>
      <c r="FK34" s="699"/>
      <c r="FL34" s="699"/>
      <c r="FM34" s="699"/>
      <c r="FN34" s="699"/>
      <c r="FO34" s="699"/>
      <c r="FP34" s="699"/>
      <c r="FQ34" s="699"/>
      <c r="FR34" s="700"/>
      <c r="FS34" s="8"/>
    </row>
    <row r="35" spans="2:175" ht="13.5" customHeight="1" thickBot="1">
      <c r="B35" s="686"/>
      <c r="C35" s="686"/>
      <c r="D35" s="686"/>
      <c r="E35" s="686"/>
      <c r="F35" s="686"/>
      <c r="G35" s="686"/>
      <c r="H35" s="686"/>
      <c r="I35" s="686"/>
      <c r="J35" s="686"/>
      <c r="X35" s="686"/>
      <c r="Y35" s="686"/>
      <c r="Z35" s="686"/>
      <c r="AA35" s="686"/>
      <c r="AB35" s="686"/>
      <c r="AC35" s="686"/>
      <c r="AD35" s="686"/>
      <c r="AE35" s="686"/>
      <c r="AF35" s="686"/>
      <c r="AI35" s="301"/>
      <c r="AJ35" s="301"/>
      <c r="AK35" s="301"/>
      <c r="AL35" s="301"/>
      <c r="AM35" s="301"/>
      <c r="AN35" s="301"/>
      <c r="AO35" s="301"/>
      <c r="AP35" s="301"/>
      <c r="AQ35" s="301"/>
      <c r="AR35" s="301"/>
      <c r="AS35" s="301"/>
      <c r="AT35" s="301"/>
      <c r="AU35" s="301"/>
      <c r="AV35" s="301"/>
      <c r="AW35" s="301"/>
      <c r="AX35" s="301"/>
      <c r="AY35" s="301"/>
      <c r="AZ35" s="301"/>
      <c r="BC35" s="686"/>
      <c r="BD35" s="686"/>
      <c r="BE35" s="686"/>
      <c r="BF35" s="686"/>
      <c r="BG35" s="686"/>
      <c r="BH35" s="686"/>
      <c r="BI35" s="686"/>
      <c r="BJ35" s="686"/>
      <c r="BK35" s="686"/>
      <c r="BN35" s="301"/>
      <c r="BO35" s="301"/>
      <c r="BP35" s="301"/>
      <c r="BQ35" s="301"/>
      <c r="BR35" s="301"/>
      <c r="BS35" s="301"/>
      <c r="BT35" s="301"/>
      <c r="BU35" s="301"/>
      <c r="BV35" s="301"/>
      <c r="BW35" s="301"/>
      <c r="BX35" s="301"/>
      <c r="BY35" s="301"/>
      <c r="BZ35" s="301"/>
      <c r="CA35" s="301"/>
      <c r="CB35" s="301"/>
      <c r="CC35" s="301"/>
      <c r="CD35" s="301"/>
      <c r="CE35" s="301"/>
      <c r="CH35" s="686"/>
      <c r="CI35" s="686"/>
      <c r="CJ35" s="686"/>
      <c r="CK35" s="686"/>
      <c r="CL35" s="686"/>
      <c r="CM35" s="686"/>
      <c r="CN35" s="686"/>
      <c r="CO35" s="686"/>
      <c r="CP35" s="686"/>
      <c r="CS35" s="301"/>
      <c r="CT35" s="301"/>
      <c r="CU35" s="301"/>
      <c r="CV35" s="301"/>
      <c r="CW35" s="301"/>
      <c r="CX35" s="301"/>
      <c r="CY35" s="301"/>
      <c r="CZ35" s="301"/>
      <c r="DA35" s="301"/>
      <c r="DB35" s="301"/>
      <c r="DC35" s="301"/>
      <c r="DD35" s="301"/>
      <c r="DE35" s="301"/>
      <c r="DF35" s="301"/>
      <c r="DG35" s="301"/>
      <c r="DH35" s="301"/>
      <c r="DI35" s="301"/>
      <c r="DJ35" s="301"/>
      <c r="DL35" s="8"/>
      <c r="DM35" s="693"/>
      <c r="DN35" s="694"/>
      <c r="DO35" s="699"/>
      <c r="DP35" s="699"/>
      <c r="DQ35" s="699"/>
      <c r="DR35" s="699"/>
      <c r="DS35" s="699"/>
      <c r="DT35" s="699"/>
      <c r="DU35" s="699"/>
      <c r="DV35" s="699"/>
      <c r="DW35" s="699"/>
      <c r="DX35" s="699"/>
      <c r="DY35" s="699"/>
      <c r="DZ35" s="699"/>
      <c r="EA35" s="699"/>
      <c r="EB35" s="699"/>
      <c r="EC35" s="699"/>
      <c r="ED35" s="700"/>
      <c r="EE35" s="8"/>
      <c r="EF35" s="8"/>
      <c r="EG35" s="693"/>
      <c r="EH35" s="694"/>
      <c r="EI35" s="699"/>
      <c r="EJ35" s="699"/>
      <c r="EK35" s="699"/>
      <c r="EL35" s="699"/>
      <c r="EM35" s="699"/>
      <c r="EN35" s="699"/>
      <c r="EO35" s="699"/>
      <c r="EP35" s="699"/>
      <c r="EQ35" s="699"/>
      <c r="ER35" s="699"/>
      <c r="ES35" s="699"/>
      <c r="ET35" s="699"/>
      <c r="EU35" s="699"/>
      <c r="EV35" s="699"/>
      <c r="EW35" s="699"/>
      <c r="EX35" s="700"/>
      <c r="EY35" s="8"/>
      <c r="EZ35" s="8"/>
      <c r="FA35" s="695"/>
      <c r="FB35" s="728"/>
      <c r="FC35" s="731"/>
      <c r="FD35" s="701"/>
      <c r="FE35" s="701"/>
      <c r="FF35" s="701"/>
      <c r="FG35" s="701"/>
      <c r="FH35" s="701"/>
      <c r="FI35" s="701"/>
      <c r="FJ35" s="701"/>
      <c r="FK35" s="701"/>
      <c r="FL35" s="701"/>
      <c r="FM35" s="701"/>
      <c r="FN35" s="701"/>
      <c r="FO35" s="701"/>
      <c r="FP35" s="701"/>
      <c r="FQ35" s="701"/>
      <c r="FR35" s="702"/>
      <c r="FS35" s="8"/>
    </row>
    <row r="36" spans="2:175" ht="13.5" customHeight="1" thickBot="1">
      <c r="B36" s="300"/>
      <c r="C36" s="300"/>
      <c r="D36" s="300"/>
      <c r="E36" s="300"/>
      <c r="F36" s="300"/>
      <c r="G36" s="300"/>
      <c r="H36" s="300"/>
      <c r="I36" s="300"/>
      <c r="J36" s="300"/>
      <c r="X36" s="300"/>
      <c r="Y36" s="300"/>
      <c r="Z36" s="300"/>
      <c r="AA36" s="300"/>
      <c r="AB36" s="300"/>
      <c r="AC36" s="300"/>
      <c r="AD36" s="300"/>
      <c r="AE36" s="300"/>
      <c r="AF36" s="300"/>
      <c r="AI36" s="301"/>
      <c r="AJ36" s="301"/>
      <c r="AK36" s="301"/>
      <c r="AL36" s="301"/>
      <c r="AM36" s="301"/>
      <c r="AN36" s="301"/>
      <c r="AO36" s="301"/>
      <c r="AP36" s="301"/>
      <c r="AQ36" s="301"/>
      <c r="AR36" s="301"/>
      <c r="AS36" s="301"/>
      <c r="AT36" s="301"/>
      <c r="AU36" s="301"/>
      <c r="AV36" s="301"/>
      <c r="AW36" s="301"/>
      <c r="AX36" s="301"/>
      <c r="AY36" s="301"/>
      <c r="AZ36" s="301"/>
      <c r="BC36" s="300"/>
      <c r="BD36" s="300"/>
      <c r="BE36" s="300"/>
      <c r="BF36" s="300"/>
      <c r="BG36" s="300"/>
      <c r="BH36" s="300"/>
      <c r="BI36" s="300"/>
      <c r="BJ36" s="300"/>
      <c r="BK36" s="300"/>
      <c r="BN36" s="301"/>
      <c r="BO36" s="301"/>
      <c r="BP36" s="301"/>
      <c r="BQ36" s="301"/>
      <c r="BR36" s="301"/>
      <c r="BS36" s="301"/>
      <c r="BT36" s="301"/>
      <c r="BU36" s="301"/>
      <c r="BV36" s="301"/>
      <c r="BW36" s="301"/>
      <c r="BX36" s="301"/>
      <c r="BY36" s="301"/>
      <c r="BZ36" s="301"/>
      <c r="CA36" s="301"/>
      <c r="CB36" s="301"/>
      <c r="CC36" s="301"/>
      <c r="CD36" s="301"/>
      <c r="CE36" s="301"/>
      <c r="CH36" s="300"/>
      <c r="CI36" s="300"/>
      <c r="CJ36" s="300"/>
      <c r="CK36" s="300"/>
      <c r="CL36" s="300"/>
      <c r="CM36" s="300"/>
      <c r="CN36" s="300"/>
      <c r="CO36" s="300"/>
      <c r="CP36" s="300"/>
      <c r="CS36" s="301"/>
      <c r="CT36" s="301"/>
      <c r="CU36" s="301"/>
      <c r="CV36" s="301"/>
      <c r="CW36" s="301"/>
      <c r="CX36" s="301"/>
      <c r="CY36" s="301"/>
      <c r="CZ36" s="301"/>
      <c r="DA36" s="301"/>
      <c r="DB36" s="301"/>
      <c r="DC36" s="301"/>
      <c r="DD36" s="301"/>
      <c r="DE36" s="301"/>
      <c r="DF36" s="301"/>
      <c r="DG36" s="301"/>
      <c r="DH36" s="301"/>
      <c r="DI36" s="301"/>
      <c r="DJ36" s="301"/>
      <c r="DL36" s="8"/>
      <c r="DM36" s="695"/>
      <c r="DN36" s="696"/>
      <c r="DO36" s="701"/>
      <c r="DP36" s="701"/>
      <c r="DQ36" s="701"/>
      <c r="DR36" s="701"/>
      <c r="DS36" s="701"/>
      <c r="DT36" s="701"/>
      <c r="DU36" s="701"/>
      <c r="DV36" s="701"/>
      <c r="DW36" s="701"/>
      <c r="DX36" s="701"/>
      <c r="DY36" s="701"/>
      <c r="DZ36" s="701"/>
      <c r="EA36" s="701"/>
      <c r="EB36" s="701"/>
      <c r="EC36" s="701"/>
      <c r="ED36" s="702"/>
      <c r="EE36" s="8"/>
      <c r="EG36" s="693"/>
      <c r="EH36" s="694"/>
      <c r="EI36" s="699"/>
      <c r="EJ36" s="699"/>
      <c r="EK36" s="699"/>
      <c r="EL36" s="699"/>
      <c r="EM36" s="699"/>
      <c r="EN36" s="699"/>
      <c r="EO36" s="699"/>
      <c r="EP36" s="699"/>
      <c r="EQ36" s="699"/>
      <c r="ER36" s="699"/>
      <c r="ES36" s="699"/>
      <c r="ET36" s="699"/>
      <c r="EU36" s="699"/>
      <c r="EV36" s="699"/>
      <c r="EW36" s="699"/>
      <c r="EX36" s="700"/>
      <c r="EZ36" s="8"/>
      <c r="FS36" s="8"/>
    </row>
    <row r="37" spans="2:175" ht="13.5" customHeight="1">
      <c r="B37" s="300"/>
      <c r="C37" s="300"/>
      <c r="D37" s="300"/>
      <c r="E37" s="300"/>
      <c r="F37" s="300"/>
      <c r="G37" s="300"/>
      <c r="H37" s="300"/>
      <c r="I37" s="300"/>
      <c r="J37" s="300"/>
      <c r="X37" s="300"/>
      <c r="Y37" s="300"/>
      <c r="Z37" s="300"/>
      <c r="AA37" s="300"/>
      <c r="AB37" s="300"/>
      <c r="AC37" s="300"/>
      <c r="AD37" s="300"/>
      <c r="AE37" s="300"/>
      <c r="AF37" s="300"/>
      <c r="AI37" s="301"/>
      <c r="AJ37" s="301"/>
      <c r="AK37" s="301"/>
      <c r="AL37" s="301"/>
      <c r="AM37" s="301"/>
      <c r="AN37" s="301"/>
      <c r="AO37" s="301"/>
      <c r="AP37" s="301"/>
      <c r="AQ37" s="301"/>
      <c r="AR37" s="301"/>
      <c r="AS37" s="301"/>
      <c r="AT37" s="301"/>
      <c r="AU37" s="301"/>
      <c r="AV37" s="301"/>
      <c r="AW37" s="301"/>
      <c r="AX37" s="301"/>
      <c r="AY37" s="301"/>
      <c r="AZ37" s="301"/>
      <c r="BC37" s="300"/>
      <c r="BD37" s="300"/>
      <c r="BE37" s="300"/>
      <c r="BF37" s="300"/>
      <c r="BG37" s="300"/>
      <c r="BH37" s="300"/>
      <c r="BI37" s="300"/>
      <c r="BJ37" s="300"/>
      <c r="BK37" s="300"/>
      <c r="BN37" s="301"/>
      <c r="BO37" s="301"/>
      <c r="BP37" s="301"/>
      <c r="BQ37" s="301"/>
      <c r="BR37" s="301"/>
      <c r="BS37" s="301"/>
      <c r="BT37" s="301"/>
      <c r="BU37" s="301"/>
      <c r="BV37" s="301"/>
      <c r="BW37" s="301"/>
      <c r="BX37" s="301"/>
      <c r="BY37" s="301"/>
      <c r="BZ37" s="301"/>
      <c r="CA37" s="301"/>
      <c r="CB37" s="301"/>
      <c r="CC37" s="301"/>
      <c r="CD37" s="301"/>
      <c r="CE37" s="301"/>
      <c r="CH37" s="300"/>
      <c r="CI37" s="300"/>
      <c r="CJ37" s="300"/>
      <c r="CK37" s="300"/>
      <c r="CL37" s="300"/>
      <c r="CM37" s="300"/>
      <c r="CN37" s="300"/>
      <c r="CO37" s="300"/>
      <c r="CP37" s="300"/>
      <c r="CS37" s="301"/>
      <c r="CT37" s="301"/>
      <c r="CU37" s="301"/>
      <c r="CV37" s="301"/>
      <c r="CW37" s="301"/>
      <c r="CX37" s="301"/>
      <c r="CY37" s="301"/>
      <c r="CZ37" s="301"/>
      <c r="DA37" s="301"/>
      <c r="DB37" s="301"/>
      <c r="DC37" s="301"/>
      <c r="DD37" s="301"/>
      <c r="DE37" s="301"/>
      <c r="DF37" s="301"/>
      <c r="DG37" s="301"/>
      <c r="DH37" s="301"/>
      <c r="DI37" s="301"/>
      <c r="DJ37" s="301"/>
      <c r="DL37" s="8"/>
      <c r="EE37" s="8"/>
      <c r="EG37" s="693"/>
      <c r="EH37" s="694"/>
      <c r="EI37" s="699"/>
      <c r="EJ37" s="699"/>
      <c r="EK37" s="699"/>
      <c r="EL37" s="699"/>
      <c r="EM37" s="699"/>
      <c r="EN37" s="699"/>
      <c r="EO37" s="699"/>
      <c r="EP37" s="699"/>
      <c r="EQ37" s="699"/>
      <c r="ER37" s="699"/>
      <c r="ES37" s="699"/>
      <c r="ET37" s="699"/>
      <c r="EU37" s="699"/>
      <c r="EV37" s="699"/>
      <c r="EW37" s="699"/>
      <c r="EX37" s="700"/>
      <c r="EZ37" s="8"/>
      <c r="FS37" s="8"/>
    </row>
    <row r="38" spans="2:175" ht="13.5" customHeight="1" thickBot="1">
      <c r="B38" s="300"/>
      <c r="C38" s="300"/>
      <c r="D38" s="300"/>
      <c r="E38" s="300"/>
      <c r="F38" s="300"/>
      <c r="G38" s="300"/>
      <c r="H38" s="300"/>
      <c r="I38" s="300"/>
      <c r="J38" s="300"/>
      <c r="X38" s="300"/>
      <c r="Y38" s="300"/>
      <c r="Z38" s="300"/>
      <c r="AA38" s="300"/>
      <c r="AB38" s="300"/>
      <c r="AC38" s="300"/>
      <c r="AD38" s="300"/>
      <c r="AE38" s="300"/>
      <c r="AF38" s="300"/>
      <c r="AI38" s="301"/>
      <c r="AJ38" s="301"/>
      <c r="AK38" s="301"/>
      <c r="AL38" s="301"/>
      <c r="AM38" s="301"/>
      <c r="AN38" s="301"/>
      <c r="AO38" s="301"/>
      <c r="AP38" s="301"/>
      <c r="AQ38" s="301"/>
      <c r="AR38" s="301"/>
      <c r="AS38" s="301"/>
      <c r="AT38" s="301"/>
      <c r="AU38" s="301"/>
      <c r="AV38" s="301"/>
      <c r="AW38" s="301"/>
      <c r="AX38" s="301"/>
      <c r="AY38" s="301"/>
      <c r="AZ38" s="301"/>
      <c r="BC38" s="300"/>
      <c r="BD38" s="300"/>
      <c r="BE38" s="300"/>
      <c r="BF38" s="300"/>
      <c r="BG38" s="300"/>
      <c r="BH38" s="300"/>
      <c r="BI38" s="300"/>
      <c r="BJ38" s="300"/>
      <c r="BK38" s="300"/>
      <c r="BN38" s="301"/>
      <c r="BO38" s="301"/>
      <c r="BP38" s="301"/>
      <c r="BQ38" s="301"/>
      <c r="BR38" s="301"/>
      <c r="BS38" s="301"/>
      <c r="BT38" s="301"/>
      <c r="BU38" s="301"/>
      <c r="BV38" s="301"/>
      <c r="BW38" s="301"/>
      <c r="BX38" s="301"/>
      <c r="BY38" s="301"/>
      <c r="BZ38" s="301"/>
      <c r="CA38" s="301"/>
      <c r="CB38" s="301"/>
      <c r="CC38" s="301"/>
      <c r="CD38" s="301"/>
      <c r="CE38" s="301"/>
      <c r="CH38" s="300"/>
      <c r="CI38" s="300"/>
      <c r="CJ38" s="300"/>
      <c r="CK38" s="300"/>
      <c r="CL38" s="300"/>
      <c r="CM38" s="300"/>
      <c r="CN38" s="300"/>
      <c r="CO38" s="300"/>
      <c r="CP38" s="300"/>
      <c r="CS38" s="301"/>
      <c r="CT38" s="301"/>
      <c r="CU38" s="301"/>
      <c r="CV38" s="301"/>
      <c r="CW38" s="301"/>
      <c r="CX38" s="301"/>
      <c r="CY38" s="301"/>
      <c r="CZ38" s="301"/>
      <c r="DA38" s="301"/>
      <c r="DB38" s="301"/>
      <c r="DC38" s="301"/>
      <c r="DD38" s="301"/>
      <c r="DE38" s="301"/>
      <c r="DF38" s="301"/>
      <c r="DG38" s="301"/>
      <c r="DH38" s="301"/>
      <c r="DI38" s="301"/>
      <c r="DJ38" s="301"/>
      <c r="EG38" s="695"/>
      <c r="EH38" s="696"/>
      <c r="EI38" s="701"/>
      <c r="EJ38" s="701"/>
      <c r="EK38" s="701"/>
      <c r="EL38" s="701"/>
      <c r="EM38" s="701"/>
      <c r="EN38" s="701"/>
      <c r="EO38" s="701"/>
      <c r="EP38" s="701"/>
      <c r="EQ38" s="701"/>
      <c r="ER38" s="701"/>
      <c r="ES38" s="701"/>
      <c r="ET38" s="701"/>
      <c r="EU38" s="701"/>
      <c r="EV38" s="701"/>
      <c r="EW38" s="701"/>
      <c r="EX38" s="702"/>
    </row>
    <row r="39" spans="2:175" ht="13.5" customHeight="1" thickBot="1">
      <c r="B39" s="300"/>
      <c r="C39" s="300"/>
      <c r="D39" s="300"/>
      <c r="E39" s="300"/>
      <c r="F39" s="300"/>
      <c r="G39" s="300"/>
      <c r="H39" s="300"/>
      <c r="I39" s="300"/>
      <c r="J39" s="300"/>
      <c r="X39" s="300"/>
      <c r="Y39" s="300"/>
      <c r="Z39" s="300"/>
      <c r="AA39" s="300"/>
      <c r="AB39" s="300"/>
      <c r="AC39" s="300"/>
      <c r="AD39" s="300"/>
      <c r="AE39" s="300"/>
      <c r="AF39" s="300"/>
      <c r="AI39" s="301"/>
      <c r="AJ39" s="301"/>
      <c r="AK39" s="301"/>
      <c r="AL39" s="301"/>
      <c r="AM39" s="301"/>
      <c r="AN39" s="301"/>
      <c r="AO39" s="301"/>
      <c r="AP39" s="301"/>
      <c r="AQ39" s="301"/>
      <c r="AR39" s="301"/>
      <c r="AS39" s="301"/>
      <c r="AT39" s="301"/>
      <c r="AU39" s="301"/>
      <c r="AV39" s="301"/>
      <c r="AW39" s="301"/>
      <c r="AX39" s="301"/>
      <c r="AY39" s="301"/>
      <c r="AZ39" s="301"/>
      <c r="BC39" s="300"/>
      <c r="BD39" s="300"/>
      <c r="BE39" s="300"/>
      <c r="BF39" s="300"/>
      <c r="BG39" s="300"/>
      <c r="BH39" s="300"/>
      <c r="BI39" s="300"/>
      <c r="BJ39" s="300"/>
      <c r="BK39" s="300"/>
      <c r="BN39" s="301"/>
      <c r="BO39" s="301"/>
      <c r="BP39" s="301"/>
      <c r="BQ39" s="301"/>
      <c r="BR39" s="301"/>
      <c r="BS39" s="301"/>
      <c r="BT39" s="301"/>
      <c r="BU39" s="301"/>
      <c r="BV39" s="301"/>
      <c r="BW39" s="301"/>
      <c r="BX39" s="301"/>
      <c r="BY39" s="301"/>
      <c r="BZ39" s="301"/>
      <c r="CA39" s="301"/>
      <c r="CB39" s="301"/>
      <c r="CC39" s="301"/>
      <c r="CD39" s="301"/>
      <c r="CE39" s="301"/>
      <c r="CH39" s="300"/>
      <c r="CI39" s="300"/>
      <c r="CJ39" s="300"/>
      <c r="CK39" s="300"/>
      <c r="CL39" s="300"/>
      <c r="CM39" s="300"/>
      <c r="CN39" s="300"/>
      <c r="CO39" s="300"/>
      <c r="CP39" s="300"/>
      <c r="CS39" s="301"/>
      <c r="CT39" s="301"/>
      <c r="CU39" s="301"/>
      <c r="CV39" s="301"/>
      <c r="CW39" s="301"/>
      <c r="CX39" s="301"/>
      <c r="CY39" s="301"/>
      <c r="CZ39" s="301"/>
      <c r="DA39" s="301"/>
      <c r="DB39" s="301"/>
      <c r="DC39" s="301"/>
      <c r="DD39" s="301"/>
      <c r="DE39" s="301"/>
      <c r="DF39" s="301"/>
      <c r="DG39" s="301"/>
      <c r="DH39" s="301"/>
      <c r="DI39" s="301"/>
      <c r="DJ39" s="301"/>
      <c r="DM39" s="687" t="s">
        <v>97</v>
      </c>
      <c r="DN39" s="688"/>
      <c r="DO39" s="360" t="s">
        <v>448</v>
      </c>
      <c r="DP39" s="361"/>
      <c r="DQ39" s="361"/>
      <c r="DR39" s="361"/>
      <c r="DS39" s="361"/>
      <c r="DT39" s="361"/>
      <c r="DU39" s="361"/>
      <c r="DV39" s="361"/>
      <c r="DW39" s="361"/>
      <c r="DX39" s="361"/>
      <c r="DY39" s="361"/>
      <c r="DZ39" s="361"/>
      <c r="EA39" s="361"/>
      <c r="EB39" s="361"/>
      <c r="EC39" s="11">
        <f>'보고서 데이터'!AN37</f>
        <v>5</v>
      </c>
      <c r="ED39" s="332"/>
    </row>
    <row r="40" spans="2:175" ht="13.5" customHeight="1" thickBot="1">
      <c r="B40" s="300"/>
      <c r="C40" s="300"/>
      <c r="D40" s="300"/>
      <c r="E40" s="300"/>
      <c r="F40" s="300"/>
      <c r="G40" s="300"/>
      <c r="H40" s="300"/>
      <c r="I40" s="300"/>
      <c r="J40" s="300"/>
      <c r="X40" s="300"/>
      <c r="Y40" s="300"/>
      <c r="Z40" s="300"/>
      <c r="AA40" s="300"/>
      <c r="AB40" s="300"/>
      <c r="AC40" s="300"/>
      <c r="AD40" s="300"/>
      <c r="AE40" s="300"/>
      <c r="AF40" s="300"/>
      <c r="AI40" s="301"/>
      <c r="AJ40" s="301"/>
      <c r="AK40" s="301"/>
      <c r="AL40" s="301"/>
      <c r="AM40" s="301"/>
      <c r="AN40" s="301"/>
      <c r="AO40" s="301"/>
      <c r="AP40" s="301"/>
      <c r="AQ40" s="301"/>
      <c r="AR40" s="301"/>
      <c r="AS40" s="301"/>
      <c r="AT40" s="301"/>
      <c r="AU40" s="301"/>
      <c r="AV40" s="301"/>
      <c r="AW40" s="301"/>
      <c r="AX40" s="301"/>
      <c r="AY40" s="301"/>
      <c r="AZ40" s="301"/>
      <c r="BC40" s="300"/>
      <c r="BD40" s="300"/>
      <c r="BE40" s="300"/>
      <c r="BF40" s="300"/>
      <c r="BG40" s="300"/>
      <c r="BH40" s="300"/>
      <c r="BI40" s="300"/>
      <c r="BJ40" s="300"/>
      <c r="BK40" s="300"/>
      <c r="BN40" s="301"/>
      <c r="BO40" s="301"/>
      <c r="BP40" s="301"/>
      <c r="BQ40" s="301"/>
      <c r="BR40" s="301"/>
      <c r="BS40" s="301"/>
      <c r="BT40" s="301"/>
      <c r="BU40" s="301"/>
      <c r="BV40" s="301"/>
      <c r="BW40" s="301"/>
      <c r="BX40" s="301"/>
      <c r="BY40" s="301"/>
      <c r="BZ40" s="301"/>
      <c r="CA40" s="301"/>
      <c r="CB40" s="301"/>
      <c r="CC40" s="301"/>
      <c r="CD40" s="301"/>
      <c r="CE40" s="301"/>
      <c r="CH40" s="300"/>
      <c r="CI40" s="300"/>
      <c r="CJ40" s="300"/>
      <c r="CK40" s="300"/>
      <c r="CL40" s="300"/>
      <c r="CM40" s="300"/>
      <c r="CN40" s="300"/>
      <c r="CO40" s="300"/>
      <c r="CP40" s="300"/>
      <c r="CS40" s="301"/>
      <c r="CT40" s="301"/>
      <c r="CU40" s="301"/>
      <c r="CV40" s="301"/>
      <c r="CW40" s="301"/>
      <c r="CX40" s="301"/>
      <c r="CY40" s="301"/>
      <c r="CZ40" s="301"/>
      <c r="DA40" s="301"/>
      <c r="DB40" s="301"/>
      <c r="DC40" s="301"/>
      <c r="DD40" s="301"/>
      <c r="DE40" s="301"/>
      <c r="DF40" s="301"/>
      <c r="DG40" s="301"/>
      <c r="DH40" s="301"/>
      <c r="DI40" s="301"/>
      <c r="DJ40" s="301"/>
      <c r="DM40" s="745"/>
      <c r="DN40" s="746"/>
      <c r="DO40" s="33" t="s">
        <v>449</v>
      </c>
      <c r="DP40" s="24"/>
      <c r="DQ40" s="24"/>
      <c r="DR40" s="24"/>
      <c r="DS40" s="24"/>
      <c r="DT40" s="24"/>
      <c r="DU40" s="24"/>
      <c r="DV40" s="24"/>
      <c r="DW40" s="24"/>
      <c r="DX40" s="24"/>
      <c r="DY40" s="24"/>
      <c r="DZ40" s="24"/>
      <c r="EA40" s="24"/>
      <c r="EB40" s="24"/>
      <c r="EC40" s="34">
        <f>'측정자 입력파일'!Y22</f>
        <v>8</v>
      </c>
      <c r="ED40" s="368"/>
    </row>
    <row r="41" spans="2:175" ht="13.5" customHeight="1" thickBot="1">
      <c r="B41" s="300"/>
      <c r="C41" s="300"/>
      <c r="D41" s="300"/>
      <c r="E41" s="300"/>
      <c r="F41" s="300"/>
      <c r="G41" s="300"/>
      <c r="H41" s="300"/>
      <c r="I41" s="300"/>
      <c r="J41" s="300"/>
      <c r="X41" s="300"/>
      <c r="Y41" s="300"/>
      <c r="Z41" s="300"/>
      <c r="AA41" s="300"/>
      <c r="AB41" s="300"/>
      <c r="AC41" s="300"/>
      <c r="AD41" s="300"/>
      <c r="AE41" s="300"/>
      <c r="AF41" s="300"/>
      <c r="AI41" s="301"/>
      <c r="AJ41" s="301"/>
      <c r="AK41" s="301"/>
      <c r="AL41" s="301"/>
      <c r="AM41" s="301"/>
      <c r="AN41" s="301"/>
      <c r="AO41" s="301"/>
      <c r="AP41" s="301"/>
      <c r="AQ41" s="301"/>
      <c r="AR41" s="301"/>
      <c r="AS41" s="301"/>
      <c r="AT41" s="301"/>
      <c r="AU41" s="301"/>
      <c r="AV41" s="301"/>
      <c r="AW41" s="301"/>
      <c r="AX41" s="301"/>
      <c r="AY41" s="301"/>
      <c r="AZ41" s="301"/>
      <c r="BC41" s="300"/>
      <c r="BD41" s="300"/>
      <c r="BE41" s="300"/>
      <c r="BF41" s="300"/>
      <c r="BG41" s="300"/>
      <c r="BH41" s="300"/>
      <c r="BI41" s="300"/>
      <c r="BJ41" s="300"/>
      <c r="BK41" s="300"/>
      <c r="BN41" s="301"/>
      <c r="BO41" s="301"/>
      <c r="BP41" s="301"/>
      <c r="BQ41" s="301"/>
      <c r="BR41" s="301"/>
      <c r="BS41" s="301"/>
      <c r="BT41" s="301"/>
      <c r="BU41" s="301"/>
      <c r="BV41" s="301"/>
      <c r="BW41" s="301"/>
      <c r="BX41" s="301"/>
      <c r="BY41" s="301"/>
      <c r="BZ41" s="301"/>
      <c r="CA41" s="301"/>
      <c r="CB41" s="301"/>
      <c r="CC41" s="301"/>
      <c r="CD41" s="301"/>
      <c r="CE41" s="301"/>
      <c r="CH41" s="300"/>
      <c r="CI41" s="300"/>
      <c r="CJ41" s="300"/>
      <c r="CK41" s="300"/>
      <c r="CL41" s="300"/>
      <c r="CM41" s="300"/>
      <c r="CN41" s="300"/>
      <c r="CO41" s="300"/>
      <c r="CP41" s="300"/>
      <c r="CS41" s="301"/>
      <c r="CT41" s="301"/>
      <c r="CU41" s="301"/>
      <c r="CV41" s="301"/>
      <c r="CW41" s="301"/>
      <c r="CX41" s="301"/>
      <c r="CY41" s="301"/>
      <c r="CZ41" s="301"/>
      <c r="DA41" s="301"/>
      <c r="DB41" s="301"/>
      <c r="DC41" s="301"/>
      <c r="DD41" s="301"/>
      <c r="DE41" s="301"/>
      <c r="DF41" s="301"/>
      <c r="DG41" s="301"/>
      <c r="DH41" s="301"/>
      <c r="DI41" s="301"/>
      <c r="DJ41" s="301"/>
      <c r="DM41" s="691" t="s">
        <v>76</v>
      </c>
      <c r="DN41" s="692"/>
      <c r="DO41" s="697" t="str">
        <f>'측정자 입력파일'!AD22</f>
        <v>사회적경제기업과의 협력 활동이 8건으로, 협력 수준이 높은 편으로 5점을 충족함</v>
      </c>
      <c r="DP41" s="697"/>
      <c r="DQ41" s="697"/>
      <c r="DR41" s="697"/>
      <c r="DS41" s="697"/>
      <c r="DT41" s="697"/>
      <c r="DU41" s="697"/>
      <c r="DV41" s="697"/>
      <c r="DW41" s="697"/>
      <c r="DX41" s="697"/>
      <c r="DY41" s="697"/>
      <c r="DZ41" s="697"/>
      <c r="EA41" s="697"/>
      <c r="EB41" s="697"/>
      <c r="EC41" s="697"/>
      <c r="ED41" s="698"/>
      <c r="EG41" s="687" t="s">
        <v>88</v>
      </c>
      <c r="EH41" s="688"/>
      <c r="EI41" s="360" t="s">
        <v>427</v>
      </c>
      <c r="EJ41" s="361"/>
      <c r="EK41" s="361"/>
      <c r="EL41" s="361"/>
      <c r="EM41" s="361"/>
      <c r="EN41" s="361"/>
      <c r="EO41" s="361"/>
      <c r="EP41" s="361"/>
      <c r="EQ41" s="361"/>
      <c r="ER41" s="361"/>
      <c r="ES41" s="361"/>
      <c r="ET41" s="361"/>
      <c r="EU41" s="361"/>
      <c r="EV41" s="369"/>
      <c r="EW41" s="11">
        <f>'보고서 데이터'!AN42</f>
        <v>5</v>
      </c>
      <c r="EX41" s="12"/>
    </row>
    <row r="42" spans="2:175" ht="13.5" customHeight="1">
      <c r="B42" s="300"/>
      <c r="C42" s="300"/>
      <c r="D42" s="300"/>
      <c r="E42" s="300"/>
      <c r="F42" s="300"/>
      <c r="G42" s="300"/>
      <c r="H42" s="300"/>
      <c r="I42" s="300"/>
      <c r="J42" s="300"/>
      <c r="X42" s="300"/>
      <c r="Y42" s="300"/>
      <c r="Z42" s="300"/>
      <c r="AA42" s="300"/>
      <c r="AB42" s="300"/>
      <c r="AC42" s="300"/>
      <c r="AD42" s="300"/>
      <c r="AE42" s="300"/>
      <c r="AF42" s="300"/>
      <c r="AI42" s="301"/>
      <c r="AJ42" s="301"/>
      <c r="AK42" s="301"/>
      <c r="AL42" s="301"/>
      <c r="AM42" s="301"/>
      <c r="AN42" s="301"/>
      <c r="AO42" s="301"/>
      <c r="AP42" s="301"/>
      <c r="AQ42" s="301"/>
      <c r="AR42" s="301"/>
      <c r="AS42" s="301"/>
      <c r="AT42" s="301"/>
      <c r="AU42" s="301"/>
      <c r="AV42" s="301"/>
      <c r="AW42" s="301"/>
      <c r="AX42" s="301"/>
      <c r="AY42" s="301"/>
      <c r="AZ42" s="301"/>
      <c r="BC42" s="300"/>
      <c r="BD42" s="300"/>
      <c r="BE42" s="300"/>
      <c r="BF42" s="300"/>
      <c r="BG42" s="300"/>
      <c r="BH42" s="300"/>
      <c r="BI42" s="300"/>
      <c r="BJ42" s="300"/>
      <c r="BK42" s="300"/>
      <c r="BN42" s="301"/>
      <c r="BO42" s="301"/>
      <c r="BP42" s="301"/>
      <c r="BQ42" s="301"/>
      <c r="BR42" s="301"/>
      <c r="BS42" s="301"/>
      <c r="BT42" s="301"/>
      <c r="BU42" s="301"/>
      <c r="BV42" s="301"/>
      <c r="BW42" s="301"/>
      <c r="BX42" s="301"/>
      <c r="BY42" s="301"/>
      <c r="BZ42" s="301"/>
      <c r="CA42" s="301"/>
      <c r="CB42" s="301"/>
      <c r="CC42" s="301"/>
      <c r="CD42" s="301"/>
      <c r="CE42" s="301"/>
      <c r="CH42" s="300"/>
      <c r="CI42" s="300"/>
      <c r="CJ42" s="300"/>
      <c r="CK42" s="300"/>
      <c r="CL42" s="300"/>
      <c r="CM42" s="300"/>
      <c r="CN42" s="300"/>
      <c r="CO42" s="300"/>
      <c r="CP42" s="300"/>
      <c r="CS42" s="301"/>
      <c r="CT42" s="301"/>
      <c r="CU42" s="301"/>
      <c r="CV42" s="301"/>
      <c r="CW42" s="301"/>
      <c r="CX42" s="301"/>
      <c r="CY42" s="301"/>
      <c r="CZ42" s="301"/>
      <c r="DA42" s="301"/>
      <c r="DB42" s="301"/>
      <c r="DC42" s="301"/>
      <c r="DD42" s="301"/>
      <c r="DE42" s="301"/>
      <c r="DF42" s="301"/>
      <c r="DG42" s="301"/>
      <c r="DH42" s="301"/>
      <c r="DI42" s="301"/>
      <c r="DJ42" s="301"/>
      <c r="DM42" s="693"/>
      <c r="DN42" s="694"/>
      <c r="DO42" s="699"/>
      <c r="DP42" s="699"/>
      <c r="DQ42" s="699"/>
      <c r="DR42" s="699"/>
      <c r="DS42" s="699"/>
      <c r="DT42" s="699"/>
      <c r="DU42" s="699"/>
      <c r="DV42" s="699"/>
      <c r="DW42" s="699"/>
      <c r="DX42" s="699"/>
      <c r="DY42" s="699"/>
      <c r="DZ42" s="699"/>
      <c r="EA42" s="699"/>
      <c r="EB42" s="699"/>
      <c r="EC42" s="699"/>
      <c r="ED42" s="700"/>
      <c r="EG42" s="689"/>
      <c r="EH42" s="690"/>
      <c r="EI42" s="30" t="s">
        <v>426</v>
      </c>
      <c r="EJ42" s="13"/>
      <c r="EK42" s="13"/>
      <c r="EL42" s="13"/>
      <c r="EM42" s="13"/>
      <c r="EN42" s="13"/>
      <c r="EO42" s="13"/>
      <c r="EP42" s="13"/>
      <c r="EQ42" s="13"/>
      <c r="ER42" s="13"/>
      <c r="ES42" s="13"/>
      <c r="ET42" s="13"/>
      <c r="EU42" s="21"/>
      <c r="EV42" s="350">
        <f>'측정자 입력파일'!Y36</f>
        <v>39.299999999999997</v>
      </c>
      <c r="EW42" s="351"/>
      <c r="EX42" s="378"/>
    </row>
    <row r="43" spans="2:175" ht="13.5" customHeight="1">
      <c r="B43" s="300"/>
      <c r="C43" s="300"/>
      <c r="D43" s="300"/>
      <c r="E43" s="300"/>
      <c r="F43" s="300"/>
      <c r="G43" s="300"/>
      <c r="H43" s="300"/>
      <c r="I43" s="300"/>
      <c r="J43" s="300"/>
      <c r="M43" s="725" t="s">
        <v>483</v>
      </c>
      <c r="N43" s="725"/>
      <c r="O43" s="725"/>
      <c r="P43" s="725" t="s">
        <v>484</v>
      </c>
      <c r="Q43" s="725"/>
      <c r="R43" s="725"/>
      <c r="S43" s="725" t="s">
        <v>485</v>
      </c>
      <c r="T43" s="725"/>
      <c r="U43" s="725"/>
      <c r="X43" s="300"/>
      <c r="Y43" s="300"/>
      <c r="Z43" s="300"/>
      <c r="AA43" s="300"/>
      <c r="AB43" s="300"/>
      <c r="AC43" s="300"/>
      <c r="AD43" s="300"/>
      <c r="AE43" s="300"/>
      <c r="AF43" s="300"/>
      <c r="AI43" s="301"/>
      <c r="AJ43" s="301"/>
      <c r="AK43" s="301"/>
      <c r="AL43" s="301"/>
      <c r="AM43" s="301"/>
      <c r="AN43" s="301"/>
      <c r="AO43" s="301"/>
      <c r="AP43" s="301"/>
      <c r="AQ43" s="301"/>
      <c r="AR43" s="301"/>
      <c r="AS43" s="301"/>
      <c r="AT43" s="301"/>
      <c r="AU43" s="301"/>
      <c r="AV43" s="301"/>
      <c r="AW43" s="301"/>
      <c r="AX43" s="301"/>
      <c r="AY43" s="301"/>
      <c r="AZ43" s="301"/>
      <c r="BC43" s="300"/>
      <c r="BD43" s="300"/>
      <c r="BE43" s="300"/>
      <c r="BF43" s="300"/>
      <c r="BG43" s="300"/>
      <c r="BH43" s="300"/>
      <c r="BI43" s="300"/>
      <c r="BJ43" s="300"/>
      <c r="BK43" s="300"/>
      <c r="BN43" s="301"/>
      <c r="BO43" s="301"/>
      <c r="BP43" s="301"/>
      <c r="BQ43" s="301"/>
      <c r="BR43" s="301"/>
      <c r="BS43" s="301"/>
      <c r="BT43" s="301"/>
      <c r="BU43" s="301"/>
      <c r="BV43" s="301"/>
      <c r="BW43" s="301"/>
      <c r="BX43" s="301"/>
      <c r="BY43" s="301"/>
      <c r="BZ43" s="301"/>
      <c r="CA43" s="301"/>
      <c r="CB43" s="301"/>
      <c r="CC43" s="301"/>
      <c r="CD43" s="301"/>
      <c r="CE43" s="301"/>
      <c r="CH43" s="300"/>
      <c r="CI43" s="300"/>
      <c r="CJ43" s="300"/>
      <c r="CK43" s="300"/>
      <c r="CL43" s="300"/>
      <c r="CM43" s="300"/>
      <c r="CN43" s="300"/>
      <c r="CO43" s="300"/>
      <c r="CP43" s="300"/>
      <c r="CS43" s="301"/>
      <c r="CT43" s="301"/>
      <c r="CU43" s="301"/>
      <c r="CV43" s="301"/>
      <c r="CW43" s="301"/>
      <c r="CX43" s="301"/>
      <c r="CY43" s="301"/>
      <c r="CZ43" s="301"/>
      <c r="DA43" s="301"/>
      <c r="DB43" s="301"/>
      <c r="DC43" s="301"/>
      <c r="DD43" s="301"/>
      <c r="DE43" s="301"/>
      <c r="DF43" s="301"/>
      <c r="DG43" s="301"/>
      <c r="DH43" s="301"/>
      <c r="DI43" s="301"/>
      <c r="DJ43" s="301"/>
      <c r="DM43" s="693"/>
      <c r="DN43" s="694"/>
      <c r="DO43" s="699"/>
      <c r="DP43" s="699"/>
      <c r="DQ43" s="699"/>
      <c r="DR43" s="699"/>
      <c r="DS43" s="699"/>
      <c r="DT43" s="699"/>
      <c r="DU43" s="699"/>
      <c r="DV43" s="699"/>
      <c r="DW43" s="699"/>
      <c r="DX43" s="699"/>
      <c r="DY43" s="699"/>
      <c r="DZ43" s="699"/>
      <c r="EA43" s="699"/>
      <c r="EB43" s="699"/>
      <c r="EC43" s="699"/>
      <c r="ED43" s="700"/>
      <c r="EG43" s="689"/>
      <c r="EH43" s="690"/>
      <c r="EI43" s="30" t="s">
        <v>428</v>
      </c>
      <c r="EJ43" s="13"/>
      <c r="EK43" s="13"/>
      <c r="EL43" s="13"/>
      <c r="EM43" s="13"/>
      <c r="EN43" s="13"/>
      <c r="EO43" s="13"/>
      <c r="EP43" s="13"/>
      <c r="EQ43" s="13"/>
      <c r="ER43" s="13"/>
      <c r="ES43" s="13"/>
      <c r="ET43" s="13"/>
      <c r="EU43" s="21"/>
      <c r="EV43" s="31"/>
      <c r="EW43" s="501" t="str">
        <f>IF('측정자 입력파일'!Z37=1,"O","X")</f>
        <v>O</v>
      </c>
      <c r="EX43" s="379"/>
    </row>
    <row r="44" spans="2:175" ht="13.5" customHeight="1">
      <c r="B44" s="300"/>
      <c r="C44" s="300"/>
      <c r="D44" s="300"/>
      <c r="E44" s="300"/>
      <c r="F44" s="300"/>
      <c r="G44" s="300"/>
      <c r="H44" s="300"/>
      <c r="I44" s="300"/>
      <c r="J44" s="300"/>
      <c r="M44" s="725"/>
      <c r="N44" s="725"/>
      <c r="O44" s="725"/>
      <c r="P44" s="725"/>
      <c r="Q44" s="725"/>
      <c r="R44" s="725"/>
      <c r="S44" s="725"/>
      <c r="T44" s="725"/>
      <c r="U44" s="725"/>
      <c r="V44" s="275"/>
      <c r="X44" s="300"/>
      <c r="Y44" s="300"/>
      <c r="Z44" s="300"/>
      <c r="AA44" s="300"/>
      <c r="AB44" s="300"/>
      <c r="AC44" s="300"/>
      <c r="AD44" s="300"/>
      <c r="AE44" s="300"/>
      <c r="AF44" s="300"/>
      <c r="AI44" s="301"/>
      <c r="AJ44" s="301"/>
      <c r="AK44" s="301"/>
      <c r="AL44" s="301"/>
      <c r="AM44" s="301"/>
      <c r="AN44" s="301"/>
      <c r="AO44" s="301"/>
      <c r="AP44" s="301"/>
      <c r="AQ44" s="301"/>
      <c r="AR44" s="301"/>
      <c r="AS44" s="301"/>
      <c r="AT44" s="301"/>
      <c r="AU44" s="301"/>
      <c r="AV44" s="301"/>
      <c r="AW44" s="301"/>
      <c r="AX44" s="301"/>
      <c r="AY44" s="301"/>
      <c r="AZ44" s="301"/>
      <c r="BC44" s="300"/>
      <c r="BD44" s="300"/>
      <c r="BE44" s="300"/>
      <c r="BF44" s="300"/>
      <c r="BG44" s="300"/>
      <c r="BH44" s="300"/>
      <c r="BI44" s="300"/>
      <c r="BJ44" s="300"/>
      <c r="BK44" s="300"/>
      <c r="BN44" s="301"/>
      <c r="BO44" s="301"/>
      <c r="BP44" s="301"/>
      <c r="BQ44" s="301"/>
      <c r="BR44" s="301"/>
      <c r="BS44" s="301"/>
      <c r="BT44" s="301"/>
      <c r="BU44" s="301"/>
      <c r="BV44" s="301"/>
      <c r="BW44" s="301"/>
      <c r="BX44" s="301"/>
      <c r="BY44" s="301"/>
      <c r="BZ44" s="301"/>
      <c r="CA44" s="301"/>
      <c r="CB44" s="301"/>
      <c r="CC44" s="301"/>
      <c r="CD44" s="301"/>
      <c r="CE44" s="301"/>
      <c r="CH44" s="300"/>
      <c r="CI44" s="300"/>
      <c r="CJ44" s="300"/>
      <c r="CK44" s="300"/>
      <c r="CL44" s="300"/>
      <c r="CM44" s="300"/>
      <c r="CN44" s="300"/>
      <c r="CO44" s="300"/>
      <c r="CP44" s="300"/>
      <c r="CS44" s="301"/>
      <c r="CT44" s="301"/>
      <c r="CU44" s="301"/>
      <c r="CV44" s="301"/>
      <c r="CW44" s="301"/>
      <c r="CX44" s="301"/>
      <c r="CY44" s="301"/>
      <c r="CZ44" s="301"/>
      <c r="DA44" s="301"/>
      <c r="DB44" s="301"/>
      <c r="DC44" s="301"/>
      <c r="DD44" s="301"/>
      <c r="DE44" s="301"/>
      <c r="DF44" s="301"/>
      <c r="DG44" s="301"/>
      <c r="DH44" s="301"/>
      <c r="DI44" s="301"/>
      <c r="DJ44" s="301"/>
      <c r="DM44" s="693"/>
      <c r="DN44" s="694"/>
      <c r="DO44" s="699"/>
      <c r="DP44" s="699"/>
      <c r="DQ44" s="699"/>
      <c r="DR44" s="699"/>
      <c r="DS44" s="699"/>
      <c r="DT44" s="699"/>
      <c r="DU44" s="699"/>
      <c r="DV44" s="699"/>
      <c r="DW44" s="699"/>
      <c r="DX44" s="699"/>
      <c r="DY44" s="699"/>
      <c r="DZ44" s="699"/>
      <c r="EA44" s="699"/>
      <c r="EB44" s="699"/>
      <c r="EC44" s="699"/>
      <c r="ED44" s="700"/>
      <c r="EG44" s="732" t="s">
        <v>76</v>
      </c>
      <c r="EH44" s="733"/>
      <c r="EI44" s="736" t="str">
        <f>'측정자 입력파일'!AD36</f>
        <v>근로자 1인당 평균 교육시간이 39.3시간으로 기준을 충족하며, 내외부 교육을 통해 역량 강화를 지원한 점이 인정되어 5점을 충족함</v>
      </c>
      <c r="EJ44" s="737"/>
      <c r="EK44" s="737"/>
      <c r="EL44" s="737"/>
      <c r="EM44" s="737"/>
      <c r="EN44" s="737"/>
      <c r="EO44" s="737"/>
      <c r="EP44" s="737"/>
      <c r="EQ44" s="737"/>
      <c r="ER44" s="737"/>
      <c r="ES44" s="737"/>
      <c r="ET44" s="737"/>
      <c r="EU44" s="737"/>
      <c r="EV44" s="737"/>
      <c r="EW44" s="737"/>
      <c r="EX44" s="738"/>
    </row>
    <row r="45" spans="2:175" ht="13.5" customHeight="1" thickBot="1">
      <c r="B45" s="300"/>
      <c r="C45" s="300"/>
      <c r="D45" s="300"/>
      <c r="E45" s="300"/>
      <c r="F45" s="300"/>
      <c r="G45" s="300"/>
      <c r="H45" s="300"/>
      <c r="I45" s="300"/>
      <c r="J45" s="300"/>
      <c r="M45" s="725"/>
      <c r="N45" s="725"/>
      <c r="O45" s="725"/>
      <c r="P45" s="725"/>
      <c r="Q45" s="725"/>
      <c r="R45" s="725"/>
      <c r="S45" s="725"/>
      <c r="T45" s="725"/>
      <c r="U45" s="725"/>
      <c r="X45" s="300"/>
      <c r="Y45" s="300"/>
      <c r="Z45" s="300"/>
      <c r="AA45" s="300"/>
      <c r="AB45" s="300"/>
      <c r="AC45" s="300"/>
      <c r="AD45" s="300"/>
      <c r="AE45" s="300"/>
      <c r="AF45" s="300"/>
      <c r="AI45" s="301"/>
      <c r="AJ45" s="301"/>
      <c r="AK45" s="301"/>
      <c r="AL45" s="301"/>
      <c r="AM45" s="301"/>
      <c r="AN45" s="301"/>
      <c r="AO45" s="301"/>
      <c r="AP45" s="301"/>
      <c r="AQ45" s="301"/>
      <c r="AR45" s="301"/>
      <c r="AS45" s="301"/>
      <c r="AT45" s="301"/>
      <c r="AU45" s="301"/>
      <c r="AV45" s="301"/>
      <c r="AW45" s="301"/>
      <c r="AX45" s="301"/>
      <c r="AY45" s="301"/>
      <c r="AZ45" s="301"/>
      <c r="BC45" s="300"/>
      <c r="BD45" s="300"/>
      <c r="BE45" s="300"/>
      <c r="BF45" s="300"/>
      <c r="BG45" s="300"/>
      <c r="BH45" s="300"/>
      <c r="BI45" s="300"/>
      <c r="BJ45" s="300"/>
      <c r="BK45" s="300"/>
      <c r="BN45" s="301"/>
      <c r="BO45" s="301"/>
      <c r="BP45" s="301"/>
      <c r="BQ45" s="301"/>
      <c r="BR45" s="301"/>
      <c r="BS45" s="301"/>
      <c r="BT45" s="301"/>
      <c r="BU45" s="301"/>
      <c r="BV45" s="301"/>
      <c r="BW45" s="301"/>
      <c r="BX45" s="301"/>
      <c r="BY45" s="301"/>
      <c r="BZ45" s="301"/>
      <c r="CA45" s="301"/>
      <c r="CB45" s="301"/>
      <c r="CC45" s="301"/>
      <c r="CD45" s="301"/>
      <c r="CE45" s="301"/>
      <c r="CH45" s="300"/>
      <c r="CI45" s="300"/>
      <c r="CJ45" s="300"/>
      <c r="CK45" s="300"/>
      <c r="CL45" s="300"/>
      <c r="CM45" s="300"/>
      <c r="CN45" s="300"/>
      <c r="CO45" s="300"/>
      <c r="CP45" s="300"/>
      <c r="CS45" s="301"/>
      <c r="CT45" s="301"/>
      <c r="CU45" s="301"/>
      <c r="CV45" s="301"/>
      <c r="CW45" s="301"/>
      <c r="CX45" s="301"/>
      <c r="CY45" s="301"/>
      <c r="CZ45" s="301"/>
      <c r="DA45" s="301"/>
      <c r="DB45" s="301"/>
      <c r="DC45" s="301"/>
      <c r="DD45" s="301"/>
      <c r="DE45" s="301"/>
      <c r="DF45" s="301"/>
      <c r="DG45" s="301"/>
      <c r="DH45" s="301"/>
      <c r="DI45" s="301"/>
      <c r="DJ45" s="301"/>
      <c r="DM45" s="695"/>
      <c r="DN45" s="696"/>
      <c r="DO45" s="701"/>
      <c r="DP45" s="701"/>
      <c r="DQ45" s="701"/>
      <c r="DR45" s="701"/>
      <c r="DS45" s="701"/>
      <c r="DT45" s="701"/>
      <c r="DU45" s="701"/>
      <c r="DV45" s="701"/>
      <c r="DW45" s="701"/>
      <c r="DX45" s="701"/>
      <c r="DY45" s="701"/>
      <c r="DZ45" s="701"/>
      <c r="EA45" s="701"/>
      <c r="EB45" s="701"/>
      <c r="EC45" s="701"/>
      <c r="ED45" s="702"/>
      <c r="EG45" s="732"/>
      <c r="EH45" s="733"/>
      <c r="EI45" s="739"/>
      <c r="EJ45" s="740"/>
      <c r="EK45" s="740"/>
      <c r="EL45" s="740"/>
      <c r="EM45" s="740"/>
      <c r="EN45" s="740"/>
      <c r="EO45" s="740"/>
      <c r="EP45" s="740"/>
      <c r="EQ45" s="740"/>
      <c r="ER45" s="740"/>
      <c r="ES45" s="740"/>
      <c r="ET45" s="740"/>
      <c r="EU45" s="740"/>
      <c r="EV45" s="740"/>
      <c r="EW45" s="740"/>
      <c r="EX45" s="741"/>
    </row>
    <row r="46" spans="2:175" ht="13.5" customHeight="1">
      <c r="B46" s="300"/>
      <c r="C46" s="300"/>
      <c r="D46" s="300"/>
      <c r="E46" s="300"/>
      <c r="F46" s="300"/>
      <c r="G46" s="300"/>
      <c r="H46" s="300"/>
      <c r="I46" s="300"/>
      <c r="J46" s="300"/>
      <c r="M46" s="725"/>
      <c r="N46" s="725"/>
      <c r="O46" s="725"/>
      <c r="P46" s="725"/>
      <c r="Q46" s="725"/>
      <c r="R46" s="725"/>
      <c r="S46" s="725"/>
      <c r="T46" s="725"/>
      <c r="U46" s="725"/>
      <c r="X46" s="300"/>
      <c r="Y46" s="300"/>
      <c r="Z46" s="300"/>
      <c r="AA46" s="300"/>
      <c r="AB46" s="300"/>
      <c r="AC46" s="300"/>
      <c r="AD46" s="300"/>
      <c r="AE46" s="300"/>
      <c r="AF46" s="300"/>
      <c r="AI46" s="301"/>
      <c r="AJ46" s="301"/>
      <c r="AK46" s="301"/>
      <c r="AL46" s="301"/>
      <c r="AM46" s="301"/>
      <c r="AN46" s="301"/>
      <c r="AO46" s="301"/>
      <c r="AP46" s="301"/>
      <c r="AQ46" s="301"/>
      <c r="AR46" s="301"/>
      <c r="AS46" s="301"/>
      <c r="AT46" s="301"/>
      <c r="AU46" s="301"/>
      <c r="AV46" s="301"/>
      <c r="AW46" s="301"/>
      <c r="AX46" s="301"/>
      <c r="AY46" s="301"/>
      <c r="AZ46" s="301"/>
      <c r="BC46" s="300"/>
      <c r="BD46" s="300"/>
      <c r="BE46" s="300"/>
      <c r="BF46" s="300"/>
      <c r="BG46" s="300"/>
      <c r="BH46" s="300"/>
      <c r="BI46" s="300"/>
      <c r="BJ46" s="300"/>
      <c r="BK46" s="300"/>
      <c r="BN46" s="301"/>
      <c r="BO46" s="301"/>
      <c r="BP46" s="301"/>
      <c r="BQ46" s="301"/>
      <c r="BR46" s="301"/>
      <c r="BS46" s="301"/>
      <c r="BT46" s="301"/>
      <c r="BU46" s="301"/>
      <c r="BV46" s="301"/>
      <c r="BW46" s="301"/>
      <c r="BX46" s="301"/>
      <c r="BY46" s="301"/>
      <c r="BZ46" s="301"/>
      <c r="CA46" s="301"/>
      <c r="CB46" s="301"/>
      <c r="CC46" s="301"/>
      <c r="CD46" s="301"/>
      <c r="CE46" s="301"/>
      <c r="CH46" s="300"/>
      <c r="CI46" s="300"/>
      <c r="CJ46" s="300"/>
      <c r="CK46" s="300"/>
      <c r="CL46" s="300"/>
      <c r="CM46" s="300"/>
      <c r="CN46" s="300"/>
      <c r="CO46" s="300"/>
      <c r="CP46" s="300"/>
      <c r="CS46" s="301"/>
      <c r="CT46" s="301"/>
      <c r="CU46" s="301"/>
      <c r="CV46" s="301"/>
      <c r="CW46" s="301"/>
      <c r="CX46" s="301"/>
      <c r="CY46" s="301"/>
      <c r="CZ46" s="301"/>
      <c r="DA46" s="301"/>
      <c r="DB46" s="301"/>
      <c r="DC46" s="301"/>
      <c r="DD46" s="301"/>
      <c r="DE46" s="301"/>
      <c r="DF46" s="301"/>
      <c r="DG46" s="301"/>
      <c r="DH46" s="301"/>
      <c r="DI46" s="301"/>
      <c r="DJ46" s="301"/>
      <c r="EG46" s="732"/>
      <c r="EH46" s="733"/>
      <c r="EI46" s="739"/>
      <c r="EJ46" s="740"/>
      <c r="EK46" s="740"/>
      <c r="EL46" s="740"/>
      <c r="EM46" s="740"/>
      <c r="EN46" s="740"/>
      <c r="EO46" s="740"/>
      <c r="EP46" s="740"/>
      <c r="EQ46" s="740"/>
      <c r="ER46" s="740"/>
      <c r="ES46" s="740"/>
      <c r="ET46" s="740"/>
      <c r="EU46" s="740"/>
      <c r="EV46" s="740"/>
      <c r="EW46" s="740"/>
      <c r="EX46" s="741"/>
    </row>
    <row r="47" spans="2:175" ht="13.5" customHeight="1" thickBot="1">
      <c r="B47" s="300"/>
      <c r="C47" s="300"/>
      <c r="D47" s="300"/>
      <c r="E47" s="300"/>
      <c r="F47" s="300"/>
      <c r="G47" s="300"/>
      <c r="H47" s="300"/>
      <c r="I47" s="300"/>
      <c r="J47" s="300"/>
      <c r="M47" s="725"/>
      <c r="N47" s="725"/>
      <c r="O47" s="725"/>
      <c r="P47" s="725"/>
      <c r="Q47" s="725"/>
      <c r="R47" s="725"/>
      <c r="S47" s="725"/>
      <c r="T47" s="725"/>
      <c r="U47" s="725"/>
      <c r="X47" s="300"/>
      <c r="Y47" s="300"/>
      <c r="Z47" s="300"/>
      <c r="AA47" s="300"/>
      <c r="AB47" s="300"/>
      <c r="AC47" s="300"/>
      <c r="AD47" s="300"/>
      <c r="AE47" s="300"/>
      <c r="AF47" s="300"/>
      <c r="AI47" s="281"/>
      <c r="AJ47" s="281"/>
      <c r="AK47" s="281"/>
      <c r="AL47" s="281"/>
      <c r="AM47" s="281"/>
      <c r="AN47" s="281"/>
      <c r="AO47" s="281"/>
      <c r="AP47" s="281"/>
      <c r="AQ47" s="281"/>
      <c r="AR47" s="281"/>
      <c r="AS47" s="281"/>
      <c r="AT47" s="281"/>
      <c r="AU47" s="281"/>
      <c r="AV47" s="281"/>
      <c r="AW47" s="281"/>
      <c r="AX47" s="281"/>
      <c r="AY47" s="281"/>
      <c r="AZ47" s="281"/>
      <c r="BC47" s="300"/>
      <c r="BD47" s="300"/>
      <c r="BE47" s="300"/>
      <c r="BF47" s="300"/>
      <c r="BG47" s="300"/>
      <c r="BH47" s="300"/>
      <c r="BI47" s="300"/>
      <c r="BJ47" s="300"/>
      <c r="BK47" s="300"/>
      <c r="BN47" s="281"/>
      <c r="BO47" s="281"/>
      <c r="BP47" s="281"/>
      <c r="BQ47" s="281"/>
      <c r="BR47" s="281"/>
      <c r="BS47" s="281"/>
      <c r="BT47" s="281"/>
      <c r="BU47" s="281"/>
      <c r="BV47" s="281"/>
      <c r="BW47" s="281"/>
      <c r="BX47" s="281"/>
      <c r="BY47" s="281"/>
      <c r="BZ47" s="281"/>
      <c r="CA47" s="281"/>
      <c r="CB47" s="281"/>
      <c r="CC47" s="281"/>
      <c r="CD47" s="281"/>
      <c r="CE47" s="281"/>
      <c r="CH47" s="300"/>
      <c r="CI47" s="300"/>
      <c r="CJ47" s="300"/>
      <c r="CK47" s="300"/>
      <c r="CL47" s="300"/>
      <c r="CM47" s="300"/>
      <c r="CN47" s="300"/>
      <c r="CO47" s="300"/>
      <c r="CP47" s="300"/>
      <c r="CS47" s="281"/>
      <c r="CT47" s="281"/>
      <c r="CU47" s="281"/>
      <c r="CV47" s="281"/>
      <c r="CW47" s="281"/>
      <c r="CX47" s="281"/>
      <c r="CY47" s="281"/>
      <c r="CZ47" s="281"/>
      <c r="DA47" s="281"/>
      <c r="DB47" s="281"/>
      <c r="DC47" s="281"/>
      <c r="DD47" s="281"/>
      <c r="DE47" s="281"/>
      <c r="DF47" s="281"/>
      <c r="DG47" s="281"/>
      <c r="DH47" s="281"/>
      <c r="DI47" s="281"/>
      <c r="DJ47" s="281"/>
      <c r="EG47" s="732"/>
      <c r="EH47" s="733"/>
      <c r="EI47" s="739"/>
      <c r="EJ47" s="740"/>
      <c r="EK47" s="740"/>
      <c r="EL47" s="740"/>
      <c r="EM47" s="740"/>
      <c r="EN47" s="740"/>
      <c r="EO47" s="740"/>
      <c r="EP47" s="740"/>
      <c r="EQ47" s="740"/>
      <c r="ER47" s="740"/>
      <c r="ES47" s="740"/>
      <c r="ET47" s="740"/>
      <c r="EU47" s="740"/>
      <c r="EV47" s="740"/>
      <c r="EW47" s="740"/>
      <c r="EX47" s="741"/>
    </row>
    <row r="48" spans="2:175" ht="13.5" customHeight="1" thickBot="1">
      <c r="B48" s="300"/>
      <c r="C48" s="300"/>
      <c r="D48" s="300"/>
      <c r="E48" s="300"/>
      <c r="F48" s="300"/>
      <c r="G48" s="300"/>
      <c r="H48" s="300"/>
      <c r="I48" s="300"/>
      <c r="J48" s="300"/>
      <c r="M48" s="725"/>
      <c r="N48" s="725"/>
      <c r="O48" s="725"/>
      <c r="P48" s="725"/>
      <c r="Q48" s="725"/>
      <c r="R48" s="725"/>
      <c r="S48" s="725"/>
      <c r="T48" s="725"/>
      <c r="U48" s="725"/>
      <c r="X48" s="300"/>
      <c r="Y48" s="300"/>
      <c r="Z48" s="300"/>
      <c r="AA48" s="300"/>
      <c r="AB48" s="300"/>
      <c r="AC48" s="300"/>
      <c r="AD48" s="300"/>
      <c r="AE48" s="300"/>
      <c r="AF48" s="300"/>
      <c r="AI48" s="281"/>
      <c r="AJ48" s="281"/>
      <c r="AK48" s="281"/>
      <c r="AL48" s="281"/>
      <c r="AM48" s="281"/>
      <c r="AN48" s="281"/>
      <c r="AO48" s="281"/>
      <c r="AP48" s="281"/>
      <c r="AQ48" s="281"/>
      <c r="AR48" s="281"/>
      <c r="AS48" s="281"/>
      <c r="AT48" s="281"/>
      <c r="AU48" s="281"/>
      <c r="AV48" s="281"/>
      <c r="AW48" s="281"/>
      <c r="AX48" s="281"/>
      <c r="AY48" s="281"/>
      <c r="AZ48" s="281"/>
      <c r="BC48" s="300"/>
      <c r="BD48" s="300"/>
      <c r="BE48" s="300"/>
      <c r="BF48" s="300"/>
      <c r="BG48" s="300"/>
      <c r="BH48" s="300"/>
      <c r="BI48" s="300"/>
      <c r="BJ48" s="300"/>
      <c r="BK48" s="300"/>
      <c r="BN48" s="281"/>
      <c r="BO48" s="281"/>
      <c r="BP48" s="281"/>
      <c r="BQ48" s="281"/>
      <c r="BR48" s="281"/>
      <c r="BS48" s="281"/>
      <c r="BT48" s="281"/>
      <c r="BU48" s="281"/>
      <c r="BV48" s="281"/>
      <c r="BW48" s="281"/>
      <c r="BX48" s="281"/>
      <c r="BY48" s="281"/>
      <c r="BZ48" s="281"/>
      <c r="CA48" s="281"/>
      <c r="CB48" s="281"/>
      <c r="CC48" s="281"/>
      <c r="CD48" s="281"/>
      <c r="CE48" s="281"/>
      <c r="CH48" s="300"/>
      <c r="CI48" s="300"/>
      <c r="CJ48" s="300"/>
      <c r="CK48" s="300"/>
      <c r="CL48" s="300"/>
      <c r="CM48" s="300"/>
      <c r="CN48" s="300"/>
      <c r="CO48" s="300"/>
      <c r="CP48" s="300"/>
      <c r="CS48" s="281"/>
      <c r="CT48" s="281"/>
      <c r="CU48" s="281"/>
      <c r="CV48" s="281"/>
      <c r="CW48" s="281"/>
      <c r="CX48" s="281"/>
      <c r="CY48" s="281"/>
      <c r="CZ48" s="281"/>
      <c r="DA48" s="281"/>
      <c r="DB48" s="281"/>
      <c r="DC48" s="281"/>
      <c r="DD48" s="281"/>
      <c r="DE48" s="281"/>
      <c r="DF48" s="281"/>
      <c r="DG48" s="281"/>
      <c r="DH48" s="281"/>
      <c r="DI48" s="281"/>
      <c r="DJ48" s="281"/>
      <c r="DM48" s="687" t="s">
        <v>120</v>
      </c>
      <c r="DN48" s="688"/>
      <c r="DO48" s="360" t="s">
        <v>424</v>
      </c>
      <c r="DP48" s="361"/>
      <c r="DQ48" s="361"/>
      <c r="DR48" s="361"/>
      <c r="DS48" s="361"/>
      <c r="DT48" s="361"/>
      <c r="DU48" s="361"/>
      <c r="DV48" s="361"/>
      <c r="DW48" s="361"/>
      <c r="DX48" s="361"/>
      <c r="DY48" s="361"/>
      <c r="DZ48" s="361"/>
      <c r="EA48" s="361"/>
      <c r="EB48" s="369"/>
      <c r="EC48" s="11">
        <f>'측정자 입력파일'!AA23</f>
        <v>5</v>
      </c>
      <c r="ED48" s="12"/>
      <c r="EG48" s="734"/>
      <c r="EH48" s="735"/>
      <c r="EI48" s="742"/>
      <c r="EJ48" s="743"/>
      <c r="EK48" s="743"/>
      <c r="EL48" s="743"/>
      <c r="EM48" s="743"/>
      <c r="EN48" s="743"/>
      <c r="EO48" s="743"/>
      <c r="EP48" s="743"/>
      <c r="EQ48" s="743"/>
      <c r="ER48" s="743"/>
      <c r="ES48" s="743"/>
      <c r="ET48" s="743"/>
      <c r="EU48" s="743"/>
      <c r="EV48" s="743"/>
      <c r="EW48" s="743"/>
      <c r="EX48" s="744"/>
    </row>
    <row r="49" spans="2:175" ht="13.5" customHeight="1">
      <c r="B49" s="300"/>
      <c r="C49" s="300"/>
      <c r="D49" s="300"/>
      <c r="E49" s="300"/>
      <c r="F49" s="300"/>
      <c r="G49" s="300"/>
      <c r="H49" s="300"/>
      <c r="I49" s="300"/>
      <c r="J49" s="300"/>
      <c r="M49" s="725"/>
      <c r="N49" s="725"/>
      <c r="O49" s="725"/>
      <c r="P49" s="725"/>
      <c r="Q49" s="725"/>
      <c r="R49" s="725"/>
      <c r="S49" s="725"/>
      <c r="T49" s="725"/>
      <c r="U49" s="725"/>
      <c r="X49" s="300"/>
      <c r="Y49" s="300"/>
      <c r="Z49" s="300"/>
      <c r="AA49" s="300"/>
      <c r="AB49" s="300"/>
      <c r="AC49" s="300"/>
      <c r="AD49" s="300"/>
      <c r="AE49" s="300"/>
      <c r="AF49" s="300"/>
      <c r="BC49" s="300"/>
      <c r="BD49" s="300"/>
      <c r="BE49" s="300"/>
      <c r="BF49" s="300"/>
      <c r="BG49" s="300"/>
      <c r="BH49" s="300"/>
      <c r="BI49" s="300"/>
      <c r="BJ49" s="300"/>
      <c r="BK49" s="300"/>
      <c r="CH49" s="300"/>
      <c r="CI49" s="300"/>
      <c r="CJ49" s="300"/>
      <c r="CK49" s="300"/>
      <c r="CL49" s="300"/>
      <c r="CM49" s="300"/>
      <c r="CN49" s="300"/>
      <c r="CO49" s="300"/>
      <c r="CP49" s="300"/>
      <c r="DM49" s="745"/>
      <c r="DN49" s="746"/>
      <c r="DO49" s="39" t="s">
        <v>425</v>
      </c>
      <c r="DP49" s="13"/>
      <c r="DQ49" s="13"/>
      <c r="DR49" s="13"/>
      <c r="DS49" s="13"/>
      <c r="DT49" s="13"/>
      <c r="DU49" s="13"/>
      <c r="DV49" s="13"/>
      <c r="DW49" s="13"/>
      <c r="DX49" s="13"/>
      <c r="DY49" s="13"/>
      <c r="DZ49" s="13"/>
      <c r="EA49" s="13"/>
      <c r="EB49" s="13"/>
      <c r="EC49" s="324">
        <f>'측정자 입력파일'!Y23</f>
        <v>11</v>
      </c>
      <c r="ED49" s="370"/>
    </row>
    <row r="50" spans="2:175" ht="13.5" customHeight="1">
      <c r="B50" s="300"/>
      <c r="C50" s="300"/>
      <c r="D50" s="300"/>
      <c r="E50" s="300"/>
      <c r="F50" s="300"/>
      <c r="G50" s="300"/>
      <c r="H50" s="300"/>
      <c r="I50" s="300"/>
      <c r="J50" s="300"/>
      <c r="M50" s="725"/>
      <c r="N50" s="725"/>
      <c r="O50" s="725"/>
      <c r="P50" s="725"/>
      <c r="Q50" s="725"/>
      <c r="R50" s="725"/>
      <c r="S50" s="725"/>
      <c r="T50" s="725"/>
      <c r="U50" s="725"/>
      <c r="X50" s="300"/>
      <c r="Y50" s="300"/>
      <c r="Z50" s="300"/>
      <c r="AA50" s="300"/>
      <c r="AB50" s="300"/>
      <c r="AC50" s="300"/>
      <c r="AD50" s="300"/>
      <c r="AE50" s="300"/>
      <c r="AF50" s="300"/>
      <c r="BC50" s="300"/>
      <c r="BD50" s="300"/>
      <c r="BE50" s="300"/>
      <c r="BF50" s="300"/>
      <c r="BG50" s="300"/>
      <c r="BH50" s="300"/>
      <c r="BI50" s="300"/>
      <c r="BJ50" s="300"/>
      <c r="BK50" s="300"/>
      <c r="CH50" s="300"/>
      <c r="CI50" s="300"/>
      <c r="CJ50" s="300"/>
      <c r="CK50" s="300"/>
      <c r="CL50" s="300"/>
      <c r="CM50" s="300"/>
      <c r="CN50" s="300"/>
      <c r="CO50" s="300"/>
      <c r="CP50" s="300"/>
      <c r="DM50" s="691" t="s">
        <v>76</v>
      </c>
      <c r="DN50" s="692"/>
      <c r="DO50" s="697" t="str">
        <f>'측정자 입력파일'!AD23</f>
        <v>지역사회 내 11개 기관과 협력활동을 진행한 점이 인정되어 5점을 충족함</v>
      </c>
      <c r="DP50" s="697"/>
      <c r="DQ50" s="697"/>
      <c r="DR50" s="697"/>
      <c r="DS50" s="697"/>
      <c r="DT50" s="697"/>
      <c r="DU50" s="697"/>
      <c r="DV50" s="697"/>
      <c r="DW50" s="697"/>
      <c r="DX50" s="697"/>
      <c r="DY50" s="697"/>
      <c r="DZ50" s="697"/>
      <c r="EA50" s="697"/>
      <c r="EB50" s="697"/>
      <c r="EC50" s="697"/>
      <c r="ED50" s="698"/>
    </row>
    <row r="51" spans="2:175" ht="13.5" customHeight="1">
      <c r="B51" s="300"/>
      <c r="C51" s="300"/>
      <c r="D51" s="300"/>
      <c r="E51" s="300"/>
      <c r="F51" s="300"/>
      <c r="G51" s="300"/>
      <c r="H51" s="300"/>
      <c r="I51" s="300"/>
      <c r="J51" s="300"/>
      <c r="M51" s="725"/>
      <c r="N51" s="725"/>
      <c r="O51" s="725"/>
      <c r="P51" s="725"/>
      <c r="Q51" s="725"/>
      <c r="R51" s="725"/>
      <c r="S51" s="725"/>
      <c r="T51" s="725"/>
      <c r="U51" s="725"/>
      <c r="X51" s="300"/>
      <c r="Y51" s="300"/>
      <c r="Z51" s="300"/>
      <c r="AA51" s="300"/>
      <c r="AB51" s="300"/>
      <c r="AC51" s="300"/>
      <c r="AD51" s="300"/>
      <c r="AE51" s="300"/>
      <c r="AF51" s="300"/>
      <c r="BC51" s="300"/>
      <c r="BD51" s="300"/>
      <c r="BE51" s="300"/>
      <c r="BF51" s="300"/>
      <c r="BG51" s="300"/>
      <c r="BH51" s="300"/>
      <c r="BI51" s="300"/>
      <c r="BJ51" s="300"/>
      <c r="BK51" s="300"/>
      <c r="CH51" s="300"/>
      <c r="CI51" s="300"/>
      <c r="CJ51" s="300"/>
      <c r="CK51" s="300"/>
      <c r="CL51" s="300"/>
      <c r="CM51" s="300"/>
      <c r="CN51" s="300"/>
      <c r="CO51" s="300"/>
      <c r="CP51" s="300"/>
      <c r="DM51" s="693"/>
      <c r="DN51" s="694"/>
      <c r="DO51" s="699"/>
      <c r="DP51" s="699"/>
      <c r="DQ51" s="699"/>
      <c r="DR51" s="699"/>
      <c r="DS51" s="699"/>
      <c r="DT51" s="699"/>
      <c r="DU51" s="699"/>
      <c r="DV51" s="699"/>
      <c r="DW51" s="699"/>
      <c r="DX51" s="699"/>
      <c r="DY51" s="699"/>
      <c r="DZ51" s="699"/>
      <c r="EA51" s="699"/>
      <c r="EB51" s="699"/>
      <c r="EC51" s="699"/>
      <c r="ED51" s="700"/>
    </row>
    <row r="52" spans="2:175" ht="12.75" customHeight="1">
      <c r="B52" s="300"/>
      <c r="C52" s="300"/>
      <c r="D52" s="300"/>
      <c r="E52" s="300"/>
      <c r="F52" s="300"/>
      <c r="G52" s="300"/>
      <c r="H52" s="300"/>
      <c r="I52" s="300"/>
      <c r="J52" s="300"/>
      <c r="M52" s="725"/>
      <c r="N52" s="725"/>
      <c r="O52" s="725"/>
      <c r="P52" s="725"/>
      <c r="Q52" s="725"/>
      <c r="R52" s="725"/>
      <c r="S52" s="725"/>
      <c r="T52" s="725"/>
      <c r="U52" s="725"/>
      <c r="X52" s="300"/>
      <c r="Y52" s="300"/>
      <c r="Z52" s="300"/>
      <c r="AA52" s="300"/>
      <c r="AB52" s="300"/>
      <c r="AC52" s="300"/>
      <c r="AD52" s="300"/>
      <c r="AE52" s="300"/>
      <c r="AF52" s="300"/>
      <c r="BC52" s="300"/>
      <c r="BD52" s="300"/>
      <c r="BE52" s="300"/>
      <c r="BF52" s="300"/>
      <c r="BG52" s="300"/>
      <c r="BH52" s="300"/>
      <c r="BI52" s="300"/>
      <c r="BJ52" s="300"/>
      <c r="BK52" s="300"/>
      <c r="CH52" s="300"/>
      <c r="CI52" s="300"/>
      <c r="CJ52" s="300"/>
      <c r="CK52" s="300"/>
      <c r="CL52" s="300"/>
      <c r="CM52" s="300"/>
      <c r="CN52" s="300"/>
      <c r="CO52" s="300"/>
      <c r="CP52" s="300"/>
      <c r="DM52" s="693"/>
      <c r="DN52" s="694"/>
      <c r="DO52" s="699"/>
      <c r="DP52" s="699"/>
      <c r="DQ52" s="699"/>
      <c r="DR52" s="699"/>
      <c r="DS52" s="699"/>
      <c r="DT52" s="699"/>
      <c r="DU52" s="699"/>
      <c r="DV52" s="699"/>
      <c r="DW52" s="699"/>
      <c r="DX52" s="699"/>
      <c r="DY52" s="699"/>
      <c r="DZ52" s="699"/>
      <c r="EA52" s="699"/>
      <c r="EB52" s="699"/>
      <c r="EC52" s="699"/>
      <c r="ED52" s="700"/>
    </row>
    <row r="53" spans="2:175" ht="12.75" customHeight="1">
      <c r="B53" s="300"/>
      <c r="C53" s="300"/>
      <c r="D53" s="300"/>
      <c r="E53" s="300"/>
      <c r="F53" s="300"/>
      <c r="G53" s="300"/>
      <c r="H53" s="300"/>
      <c r="I53" s="300"/>
      <c r="J53" s="300"/>
      <c r="M53" s="725"/>
      <c r="N53" s="725"/>
      <c r="O53" s="725"/>
      <c r="P53" s="725"/>
      <c r="Q53" s="725"/>
      <c r="R53" s="725"/>
      <c r="S53" s="725"/>
      <c r="T53" s="725"/>
      <c r="U53" s="725"/>
      <c r="X53" s="300"/>
      <c r="Y53" s="300"/>
      <c r="Z53" s="300"/>
      <c r="AA53" s="300"/>
      <c r="AB53" s="300"/>
      <c r="AC53" s="300"/>
      <c r="AD53" s="300"/>
      <c r="AE53" s="300"/>
      <c r="AF53" s="300"/>
      <c r="BC53" s="300"/>
      <c r="BD53" s="300"/>
      <c r="BE53" s="300"/>
      <c r="BF53" s="300"/>
      <c r="BG53" s="300"/>
      <c r="BH53" s="300"/>
      <c r="BI53" s="300"/>
      <c r="BJ53" s="300"/>
      <c r="BK53" s="300"/>
      <c r="CH53" s="300"/>
      <c r="CI53" s="300"/>
      <c r="CJ53" s="300"/>
      <c r="CK53" s="300"/>
      <c r="CL53" s="300"/>
      <c r="CM53" s="300"/>
      <c r="CN53" s="300"/>
      <c r="CO53" s="300"/>
      <c r="CP53" s="300"/>
      <c r="DM53" s="693"/>
      <c r="DN53" s="694"/>
      <c r="DO53" s="699"/>
      <c r="DP53" s="699"/>
      <c r="DQ53" s="699"/>
      <c r="DR53" s="699"/>
      <c r="DS53" s="699"/>
      <c r="DT53" s="699"/>
      <c r="DU53" s="699"/>
      <c r="DV53" s="699"/>
      <c r="DW53" s="699"/>
      <c r="DX53" s="699"/>
      <c r="DY53" s="699"/>
      <c r="DZ53" s="699"/>
      <c r="EA53" s="699"/>
      <c r="EB53" s="699"/>
      <c r="EC53" s="699"/>
      <c r="ED53" s="700"/>
    </row>
    <row r="54" spans="2:175" ht="18" thickBot="1">
      <c r="DM54" s="695"/>
      <c r="DN54" s="696"/>
      <c r="DO54" s="701"/>
      <c r="DP54" s="701"/>
      <c r="DQ54" s="701"/>
      <c r="DR54" s="701"/>
      <c r="DS54" s="701"/>
      <c r="DT54" s="701"/>
      <c r="DU54" s="701"/>
      <c r="DV54" s="701"/>
      <c r="DW54" s="701"/>
      <c r="DX54" s="701"/>
      <c r="DY54" s="701"/>
      <c r="DZ54" s="701"/>
      <c r="EA54" s="701"/>
      <c r="EB54" s="701"/>
      <c r="EC54" s="701"/>
      <c r="ED54" s="702"/>
    </row>
    <row r="56" spans="2:175" ht="16.5" customHeight="1"/>
    <row r="59" spans="2:175">
      <c r="FB59"/>
      <c r="FC59"/>
      <c r="FD59"/>
      <c r="FE59"/>
      <c r="FF59"/>
      <c r="FG59"/>
      <c r="FH59"/>
      <c r="FI59"/>
      <c r="FJ59"/>
      <c r="FK59"/>
      <c r="FL59"/>
      <c r="FM59"/>
      <c r="FN59"/>
      <c r="FO59"/>
      <c r="FP59"/>
      <c r="FQ59"/>
      <c r="FR59"/>
      <c r="FS59"/>
    </row>
    <row r="60" spans="2:175">
      <c r="FB60"/>
      <c r="FC60"/>
      <c r="FD60"/>
      <c r="FE60"/>
      <c r="FF60"/>
      <c r="FG60"/>
      <c r="FH60"/>
      <c r="FI60"/>
      <c r="FJ60"/>
      <c r="FK60"/>
      <c r="FL60"/>
      <c r="FM60"/>
      <c r="FN60"/>
      <c r="FO60"/>
      <c r="FP60"/>
      <c r="FQ60"/>
      <c r="FR60"/>
      <c r="FS60"/>
    </row>
    <row r="61" spans="2:175">
      <c r="FB61"/>
      <c r="FC61"/>
      <c r="FD61"/>
      <c r="FE61"/>
      <c r="FF61"/>
      <c r="FG61"/>
      <c r="FH61"/>
      <c r="FI61"/>
      <c r="FJ61"/>
      <c r="FK61"/>
      <c r="FL61"/>
      <c r="FM61"/>
      <c r="FN61"/>
      <c r="FO61"/>
      <c r="FP61"/>
      <c r="FQ61"/>
      <c r="FR61"/>
      <c r="FS61"/>
    </row>
    <row r="62" spans="2:175">
      <c r="FB62"/>
      <c r="FC62"/>
      <c r="FD62"/>
      <c r="FE62"/>
      <c r="FF62"/>
      <c r="FG62"/>
      <c r="FH62"/>
      <c r="FI62"/>
      <c r="FJ62"/>
      <c r="FK62"/>
      <c r="FL62"/>
      <c r="FM62"/>
      <c r="FN62"/>
      <c r="FO62"/>
      <c r="FP62"/>
      <c r="FQ62"/>
      <c r="FR62"/>
      <c r="FS62"/>
    </row>
    <row r="63" spans="2:175">
      <c r="FB63"/>
      <c r="FC63"/>
      <c r="FD63"/>
      <c r="FE63"/>
      <c r="FF63"/>
      <c r="FG63"/>
      <c r="FH63"/>
      <c r="FI63"/>
      <c r="FJ63"/>
      <c r="FK63"/>
      <c r="FL63"/>
      <c r="FM63"/>
      <c r="FN63"/>
      <c r="FO63"/>
      <c r="FP63"/>
      <c r="FQ63"/>
      <c r="FR63"/>
      <c r="FS63"/>
    </row>
    <row r="64" spans="2:175">
      <c r="FB64"/>
      <c r="FC64"/>
      <c r="FD64"/>
      <c r="FE64"/>
      <c r="FF64"/>
      <c r="FG64"/>
      <c r="FH64"/>
      <c r="FI64"/>
      <c r="FJ64"/>
      <c r="FK64"/>
      <c r="FL64"/>
      <c r="FM64"/>
      <c r="FN64"/>
      <c r="FO64"/>
      <c r="FP64"/>
      <c r="FQ64"/>
      <c r="FR64"/>
      <c r="FS64"/>
    </row>
    <row r="65" spans="158:175">
      <c r="FB65"/>
      <c r="FC65"/>
      <c r="FD65"/>
      <c r="FE65"/>
      <c r="FF65"/>
      <c r="FG65"/>
      <c r="FH65"/>
      <c r="FI65"/>
      <c r="FJ65"/>
      <c r="FK65"/>
      <c r="FL65"/>
      <c r="FM65"/>
      <c r="FN65"/>
      <c r="FO65"/>
      <c r="FP65"/>
      <c r="FQ65"/>
      <c r="FR65"/>
      <c r="FS65"/>
    </row>
    <row r="66" spans="158:175">
      <c r="FB66"/>
      <c r="FC66"/>
      <c r="FD66"/>
      <c r="FE66"/>
      <c r="FF66"/>
      <c r="FG66"/>
      <c r="FH66"/>
      <c r="FI66"/>
      <c r="FJ66"/>
      <c r="FK66"/>
      <c r="FL66"/>
      <c r="FM66"/>
      <c r="FN66"/>
      <c r="FO66"/>
      <c r="FP66"/>
      <c r="FQ66"/>
      <c r="FR66"/>
      <c r="FS66"/>
    </row>
  </sheetData>
  <sheetProtection formatCells="0" formatColumns="0" formatRows="0" insertColumns="0" insertRows="0" insertHyperlinks="0" deleteColumns="0" deleteRows="0" sort="0" autoFilter="0" pivotTables="0"/>
  <mergeCells count="53">
    <mergeCell ref="M43:O53"/>
    <mergeCell ref="P43:R53"/>
    <mergeCell ref="S43:U53"/>
    <mergeCell ref="FA31:FB35"/>
    <mergeCell ref="FC31:FR35"/>
    <mergeCell ref="EI34:EX38"/>
    <mergeCell ref="EG44:EH48"/>
    <mergeCell ref="EI44:EX48"/>
    <mergeCell ref="EG41:EH43"/>
    <mergeCell ref="DM48:DN49"/>
    <mergeCell ref="DM32:DN36"/>
    <mergeCell ref="DO32:ED36"/>
    <mergeCell ref="DM41:DN45"/>
    <mergeCell ref="DO41:ED45"/>
    <mergeCell ref="EG31:EH33"/>
    <mergeCell ref="DM39:DN40"/>
    <mergeCell ref="FA10:FB13"/>
    <mergeCell ref="B2:J26"/>
    <mergeCell ref="B27:J35"/>
    <mergeCell ref="DO28:DP30"/>
    <mergeCell ref="DM27:DN31"/>
    <mergeCell ref="FA5:FB8"/>
    <mergeCell ref="DM14:DN19"/>
    <mergeCell ref="DM20:DN24"/>
    <mergeCell ref="FA15:FB18"/>
    <mergeCell ref="FA20:FB23"/>
    <mergeCell ref="FA28:FB30"/>
    <mergeCell ref="EG21:EH23"/>
    <mergeCell ref="EG24:EH28"/>
    <mergeCell ref="EI24:EX28"/>
    <mergeCell ref="EG5:EH13"/>
    <mergeCell ref="EG34:EH38"/>
    <mergeCell ref="EG14:EH18"/>
    <mergeCell ref="EI14:EX18"/>
    <mergeCell ref="EI6:EJ8"/>
    <mergeCell ref="EU10:EX10"/>
    <mergeCell ref="EU9:EX9"/>
    <mergeCell ref="EV11:EX11"/>
    <mergeCell ref="EI9:EJ12"/>
    <mergeCell ref="DM5:DN7"/>
    <mergeCell ref="DM8:DN11"/>
    <mergeCell ref="DO8:ED11"/>
    <mergeCell ref="DM50:DN54"/>
    <mergeCell ref="DO50:ED54"/>
    <mergeCell ref="DO20:ED24"/>
    <mergeCell ref="EC6:ED6"/>
    <mergeCell ref="EC7:ED7"/>
    <mergeCell ref="X2:AF26"/>
    <mergeCell ref="X27:AF35"/>
    <mergeCell ref="BC2:BK26"/>
    <mergeCell ref="BC27:BK35"/>
    <mergeCell ref="CH2:CP26"/>
    <mergeCell ref="CH27:CP35"/>
  </mergeCells>
  <phoneticPr fontId="56" type="noConversion"/>
  <pageMargins left="0.7" right="0.7" top="0.75" bottom="0.75" header="0.3" footer="0.3"/>
  <pageSetup paperSize="9" orientation="portrait" r:id="rId1"/>
  <ignoredErrors>
    <ignoredError sqref="DO41 DO50 DO32 DO20 DO8 EI14 EI24 EI34 EI44 FC31" unlockedFormula="1"/>
  </ignoredError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58D7F-9704-4571-A057-D2C5AB92B9F7}">
  <sheetPr codeName="Sheet41"/>
  <dimension ref="A1:CQ4"/>
  <sheetViews>
    <sheetView zoomScaleNormal="100" workbookViewId="0">
      <selection sqref="A1:XFD4"/>
    </sheetView>
  </sheetViews>
  <sheetFormatPr baseColWidth="10" defaultColWidth="9.3984375" defaultRowHeight="15"/>
  <cols>
    <col min="1" max="1" width="6.59765625" style="45" customWidth="1"/>
    <col min="2" max="2" width="13.19921875" style="45" customWidth="1"/>
    <col min="3" max="4" width="9.3984375" style="45"/>
    <col min="5" max="5" width="17.796875" style="45" bestFit="1" customWidth="1"/>
    <col min="6" max="15" width="9.3984375" style="45"/>
    <col min="16" max="18" width="9.3984375" style="45" bestFit="1" customWidth="1"/>
    <col min="19" max="20" width="17.3984375" style="45" bestFit="1" customWidth="1"/>
    <col min="21" max="21" width="17.3984375" style="45" customWidth="1"/>
    <col min="22" max="22" width="16" style="45" bestFit="1" customWidth="1"/>
    <col min="23" max="23" width="14.59765625" style="45" bestFit="1" customWidth="1"/>
    <col min="24" max="24" width="9.3984375" style="45" bestFit="1" customWidth="1"/>
    <col min="25" max="25" width="10" style="45" bestFit="1" customWidth="1"/>
    <col min="26" max="26" width="16" style="45" bestFit="1" customWidth="1"/>
    <col min="27" max="28" width="12.3984375" style="45" bestFit="1" customWidth="1"/>
    <col min="29" max="30" width="12.19921875" style="45" customWidth="1"/>
    <col min="31" max="31" width="17.796875" style="45" customWidth="1"/>
    <col min="32" max="32" width="14.59765625" style="45" bestFit="1" customWidth="1"/>
    <col min="33" max="33" width="14.3984375" style="45" bestFit="1" customWidth="1"/>
    <col min="34" max="35" width="12.3984375" style="45" customWidth="1"/>
    <col min="36" max="42" width="9.3984375" style="45" bestFit="1" customWidth="1"/>
    <col min="43" max="43" width="11.19921875" style="45" customWidth="1"/>
    <col min="44" max="44" width="10" style="45" bestFit="1" customWidth="1"/>
    <col min="45" max="94" width="9.3984375" style="45" bestFit="1" customWidth="1"/>
    <col min="95" max="16384" width="9.3984375" style="45"/>
  </cols>
  <sheetData>
    <row r="1" spans="1:95" s="394" customFormat="1" ht="64">
      <c r="A1" s="390" t="s">
        <v>527</v>
      </c>
      <c r="B1" s="390" t="s">
        <v>166</v>
      </c>
      <c r="C1" s="390" t="s">
        <v>169</v>
      </c>
      <c r="D1" s="390" t="s">
        <v>61</v>
      </c>
      <c r="E1" s="390" t="s">
        <v>75</v>
      </c>
      <c r="F1" s="391" t="s">
        <v>78</v>
      </c>
      <c r="G1" s="391" t="s">
        <v>69</v>
      </c>
      <c r="H1" s="391" t="s">
        <v>173</v>
      </c>
      <c r="I1" s="391" t="s">
        <v>241</v>
      </c>
      <c r="J1" s="391" t="s">
        <v>175</v>
      </c>
      <c r="K1" s="392" t="s">
        <v>178</v>
      </c>
      <c r="L1" s="392" t="s">
        <v>509</v>
      </c>
      <c r="M1" s="392" t="s">
        <v>182</v>
      </c>
      <c r="N1" s="392" t="s">
        <v>185</v>
      </c>
      <c r="O1" s="392" t="s">
        <v>187</v>
      </c>
      <c r="P1" s="391" t="s">
        <v>411</v>
      </c>
      <c r="Q1" s="391" t="s">
        <v>414</v>
      </c>
      <c r="R1" s="391" t="s">
        <v>415</v>
      </c>
      <c r="S1" s="390" t="s">
        <v>412</v>
      </c>
      <c r="T1" s="390" t="s">
        <v>416</v>
      </c>
      <c r="U1" s="390" t="s">
        <v>454</v>
      </c>
      <c r="V1" s="390" t="s">
        <v>417</v>
      </c>
      <c r="W1" s="390" t="s">
        <v>418</v>
      </c>
      <c r="X1" s="391" t="s">
        <v>419</v>
      </c>
      <c r="Y1" s="390" t="s">
        <v>420</v>
      </c>
      <c r="Z1" s="390" t="s">
        <v>421</v>
      </c>
      <c r="AA1" s="391" t="s">
        <v>422</v>
      </c>
      <c r="AB1" s="390" t="s">
        <v>423</v>
      </c>
      <c r="AC1" s="390" t="s">
        <v>455</v>
      </c>
      <c r="AD1" s="390" t="s">
        <v>456</v>
      </c>
      <c r="AE1" s="390" t="s">
        <v>457</v>
      </c>
      <c r="AF1" s="390" t="s">
        <v>210</v>
      </c>
      <c r="AG1" s="390" t="s">
        <v>213</v>
      </c>
      <c r="AH1" s="390" t="s">
        <v>458</v>
      </c>
      <c r="AI1" s="390" t="s">
        <v>459</v>
      </c>
      <c r="AJ1" s="559" t="s">
        <v>167</v>
      </c>
      <c r="AK1" s="559" t="s">
        <v>170</v>
      </c>
      <c r="AL1" s="559" t="s">
        <v>171</v>
      </c>
      <c r="AM1" s="559" t="s">
        <v>172</v>
      </c>
      <c r="AN1" s="559" t="s">
        <v>174</v>
      </c>
      <c r="AO1" s="559" t="s">
        <v>176</v>
      </c>
      <c r="AP1" s="559" t="s">
        <v>179</v>
      </c>
      <c r="AQ1" s="559" t="s">
        <v>183</v>
      </c>
      <c r="AR1" s="559" t="s">
        <v>184</v>
      </c>
      <c r="AS1" s="559" t="s">
        <v>186</v>
      </c>
      <c r="AT1" s="559" t="s">
        <v>188</v>
      </c>
      <c r="AU1" s="559" t="s">
        <v>77</v>
      </c>
      <c r="AV1" s="559" t="s">
        <v>460</v>
      </c>
      <c r="AW1" s="559" t="s">
        <v>190</v>
      </c>
      <c r="AX1" s="559" t="s">
        <v>191</v>
      </c>
      <c r="AY1" s="559" t="s">
        <v>192</v>
      </c>
      <c r="AZ1" s="559" t="s">
        <v>193</v>
      </c>
      <c r="BA1" s="559" t="s">
        <v>194</v>
      </c>
      <c r="BB1" s="559" t="s">
        <v>196</v>
      </c>
      <c r="BC1" s="559" t="s">
        <v>204</v>
      </c>
      <c r="BD1" s="559" t="s">
        <v>207</v>
      </c>
      <c r="BE1" s="559" t="s">
        <v>461</v>
      </c>
      <c r="BF1" s="559" t="s">
        <v>462</v>
      </c>
      <c r="BG1" s="559" t="s">
        <v>465</v>
      </c>
      <c r="BH1" s="559" t="s">
        <v>464</v>
      </c>
      <c r="BI1" s="559" t="s">
        <v>463</v>
      </c>
      <c r="BJ1" s="559" t="s">
        <v>466</v>
      </c>
      <c r="BK1" s="393" t="s">
        <v>49</v>
      </c>
      <c r="BL1" s="393" t="s">
        <v>95</v>
      </c>
      <c r="BM1" s="393" t="s">
        <v>242</v>
      </c>
      <c r="BN1" s="393" t="s">
        <v>243</v>
      </c>
      <c r="BO1" s="393" t="s">
        <v>244</v>
      </c>
      <c r="BP1" s="393" t="s">
        <v>149</v>
      </c>
      <c r="BQ1" s="393" t="s">
        <v>150</v>
      </c>
      <c r="BR1" s="393" t="s">
        <v>245</v>
      </c>
      <c r="BS1" s="393" t="s">
        <v>246</v>
      </c>
      <c r="BT1" s="393" t="s">
        <v>247</v>
      </c>
      <c r="BU1" s="393" t="s">
        <v>248</v>
      </c>
      <c r="BV1" s="393" t="s">
        <v>249</v>
      </c>
      <c r="BW1" s="393" t="s">
        <v>250</v>
      </c>
      <c r="BX1" s="393" t="s">
        <v>251</v>
      </c>
      <c r="BY1" s="393" t="s">
        <v>154</v>
      </c>
      <c r="BZ1" s="393" t="s">
        <v>156</v>
      </c>
      <c r="CA1" s="393" t="s">
        <v>252</v>
      </c>
      <c r="CB1" s="393" t="s">
        <v>467</v>
      </c>
      <c r="CC1" s="393" t="s">
        <v>253</v>
      </c>
      <c r="CD1" s="393" t="s">
        <v>254</v>
      </c>
      <c r="CE1" s="393" t="s">
        <v>468</v>
      </c>
      <c r="CF1" s="393" t="s">
        <v>255</v>
      </c>
      <c r="CG1" s="393" t="s">
        <v>469</v>
      </c>
      <c r="CH1" s="393" t="s">
        <v>470</v>
      </c>
      <c r="CI1" s="393" t="s">
        <v>471</v>
      </c>
      <c r="CJ1" s="393" t="s">
        <v>472</v>
      </c>
      <c r="CK1" s="393" t="s">
        <v>473</v>
      </c>
      <c r="CL1" s="393" t="s">
        <v>474</v>
      </c>
      <c r="CM1" s="393" t="s">
        <v>256</v>
      </c>
      <c r="CN1" s="393" t="s">
        <v>257</v>
      </c>
      <c r="CO1" s="393" t="s">
        <v>258</v>
      </c>
      <c r="CP1" s="393" t="s">
        <v>259</v>
      </c>
      <c r="CQ1" s="393" t="s">
        <v>475</v>
      </c>
    </row>
    <row r="2" spans="1:95" s="394" customFormat="1" ht="16">
      <c r="A2" s="556" t="s">
        <v>397</v>
      </c>
      <c r="B2" s="434">
        <f>'측정자 입력파일'!$D$8</f>
        <v>77</v>
      </c>
      <c r="C2" s="435" t="str">
        <f>'측정자 입력파일'!$D$5</f>
        <v>서일화</v>
      </c>
      <c r="D2" s="435" t="str">
        <f>'측정자 입력파일'!$D$9</f>
        <v>갓피플주식회사</v>
      </c>
      <c r="E2" s="436" t="str">
        <f>'측정자 입력파일'!$D$10</f>
        <v>128-86-63141</v>
      </c>
      <c r="F2" s="435" t="str">
        <f>'측정자 입력파일'!$D$11</f>
        <v>제 2016-076 호</v>
      </c>
      <c r="G2" s="435">
        <f>'측정자 입력파일'!$D$12</f>
        <v>2011</v>
      </c>
      <c r="H2" s="435" t="str">
        <f>'측정자 입력파일'!$D$13</f>
        <v>박도선</v>
      </c>
      <c r="I2" s="435" t="str">
        <f>'측정자 입력파일'!$D$14</f>
        <v>안호영</v>
      </c>
      <c r="J2" s="435" t="str">
        <f>'측정자 입력파일'!$D$15</f>
        <v>031-944-0341</v>
      </c>
      <c r="K2" s="435" t="str">
        <f>'측정자 입력파일'!$D$17</f>
        <v>고양시</v>
      </c>
      <c r="L2" s="435" t="str">
        <f>'측정자 입력파일'!$D$18</f>
        <v>덕양구 호국로 787</v>
      </c>
      <c r="M2" s="435" t="str">
        <f>'측정자 입력파일'!$D$19</f>
        <v>인증 사회적기업</v>
      </c>
      <c r="N2" s="435" t="str">
        <f>'측정자 입력파일'!$D$20</f>
        <v>사업시설 관리, 사업 지원 및 임대 서비스업(N)</v>
      </c>
      <c r="O2" s="435" t="str">
        <f>'측정자 입력파일'!$D$22</f>
        <v>O</v>
      </c>
      <c r="P2" s="555"/>
      <c r="Q2" s="555"/>
      <c r="R2" s="555"/>
      <c r="S2" s="555"/>
      <c r="T2" s="555"/>
      <c r="U2" s="555"/>
      <c r="V2" s="555"/>
      <c r="W2" s="555"/>
      <c r="X2" s="555"/>
      <c r="Y2" s="555"/>
      <c r="Z2" s="555"/>
      <c r="AA2" s="555"/>
      <c r="AB2" s="555"/>
      <c r="AC2" s="555"/>
      <c r="AD2" s="555"/>
      <c r="AE2" s="555"/>
      <c r="AF2" s="555"/>
      <c r="AG2" s="555"/>
      <c r="AH2" s="555"/>
      <c r="AI2" s="555"/>
      <c r="AJ2" s="560">
        <f>'측정자 입력파일'!T5</f>
        <v>0</v>
      </c>
      <c r="AK2" s="560">
        <f>'측정자 입력파일'!T6</f>
        <v>0</v>
      </c>
      <c r="AL2" s="560">
        <f>'측정자 입력파일'!T9</f>
        <v>0</v>
      </c>
      <c r="AM2" s="560">
        <f>'측정자 입력파일'!T10</f>
        <v>0</v>
      </c>
      <c r="AN2" s="560">
        <f>'측정자 입력파일'!T11</f>
        <v>0</v>
      </c>
      <c r="AO2" s="560">
        <f>'측정자 입력파일'!T12</f>
        <v>0</v>
      </c>
      <c r="AP2" s="560">
        <f>'측정자 입력파일'!T13</f>
        <v>0</v>
      </c>
      <c r="AQ2" s="560"/>
      <c r="AR2" s="560"/>
      <c r="AS2" s="560">
        <f>'측정자 입력파일'!T17</f>
        <v>0</v>
      </c>
      <c r="AT2" s="560">
        <f>'측정자 입력파일'!T18</f>
        <v>0</v>
      </c>
      <c r="AU2" s="560">
        <f>'측정자 입력파일'!T19</f>
        <v>0</v>
      </c>
      <c r="AV2" s="560">
        <f>'측정자 입력파일'!T20</f>
        <v>0</v>
      </c>
      <c r="AW2" s="560"/>
      <c r="AX2" s="560"/>
      <c r="AY2" s="560">
        <f>'측정자 입력파일'!T25</f>
        <v>0</v>
      </c>
      <c r="AZ2" s="560">
        <f>'측정자 입력파일'!T26</f>
        <v>0</v>
      </c>
      <c r="BA2" s="560">
        <f>'측정자 입력파일'!T27</f>
        <v>0</v>
      </c>
      <c r="BB2" s="560">
        <f>'측정자 입력파일'!T29</f>
        <v>0</v>
      </c>
      <c r="BC2" s="560"/>
      <c r="BD2" s="560"/>
      <c r="BE2" s="560"/>
      <c r="BF2" s="560"/>
      <c r="BG2" s="560"/>
      <c r="BH2" s="560"/>
      <c r="BI2" s="560"/>
      <c r="BJ2" s="560"/>
      <c r="BK2" s="557">
        <f>'측정자 입력파일'!U5</f>
        <v>0</v>
      </c>
      <c r="BL2" s="557">
        <f>'측정자 입력파일'!U9</f>
        <v>0</v>
      </c>
      <c r="BM2" s="557">
        <f>SUM('측정자 입력파일'!T15:T19)</f>
        <v>0</v>
      </c>
      <c r="BN2" s="557">
        <f>'측정자 입력파일'!T20</f>
        <v>0</v>
      </c>
      <c r="BO2" s="557">
        <f>'측정자 입력파일'!U15</f>
        <v>0</v>
      </c>
      <c r="BP2" s="557">
        <f>'측정자 입력파일'!U22</f>
        <v>0</v>
      </c>
      <c r="BQ2" s="557">
        <f>'측정자 입력파일'!U23</f>
        <v>0</v>
      </c>
      <c r="BR2" s="557">
        <f>SUM('측정자 입력파일'!T25:T27)</f>
        <v>0</v>
      </c>
      <c r="BS2" s="557">
        <f>'측정자 입력파일'!T28</f>
        <v>0</v>
      </c>
      <c r="BT2" s="557">
        <f>'측정자 입력파일'!T29</f>
        <v>0</v>
      </c>
      <c r="BU2" s="557">
        <f>'측정자 입력파일'!U25</f>
        <v>0</v>
      </c>
      <c r="BV2" s="557">
        <f>'측정자 입력파일'!T31</f>
        <v>0</v>
      </c>
      <c r="BW2" s="557">
        <f>'측정자 입력파일'!T32</f>
        <v>0</v>
      </c>
      <c r="BX2" s="557">
        <f>'측정자 입력파일'!U31</f>
        <v>0</v>
      </c>
      <c r="BY2" s="557">
        <f>'측정자 입력파일'!U34</f>
        <v>0</v>
      </c>
      <c r="BZ2" s="557">
        <f>'측정자 입력파일'!U36</f>
        <v>0</v>
      </c>
      <c r="CA2" s="557">
        <f>'측정자 입력파일'!T39</f>
        <v>0</v>
      </c>
      <c r="CB2" s="557">
        <f>'측정자 입력파일'!T40</f>
        <v>0</v>
      </c>
      <c r="CC2" s="557">
        <f>'측정자 입력파일'!U39</f>
        <v>0</v>
      </c>
      <c r="CD2" s="557">
        <f>'측정자 입력파일'!T41</f>
        <v>0</v>
      </c>
      <c r="CE2" s="557">
        <f>'측정자 입력파일'!T42</f>
        <v>0</v>
      </c>
      <c r="CF2" s="557">
        <f>'측정자 입력파일'!U41</f>
        <v>0</v>
      </c>
      <c r="CG2" s="557">
        <f>'측정자 입력파일'!T43</f>
        <v>0</v>
      </c>
      <c r="CH2" s="557">
        <f>'측정자 입력파일'!T44</f>
        <v>0</v>
      </c>
      <c r="CI2" s="557">
        <f>'측정자 입력파일'!U43</f>
        <v>0</v>
      </c>
      <c r="CJ2" s="557">
        <f>'측정자 입력파일'!T45</f>
        <v>0</v>
      </c>
      <c r="CK2" s="557">
        <f>'측정자 입력파일'!T44</f>
        <v>0</v>
      </c>
      <c r="CL2" s="557">
        <f>'측정자 입력파일'!U45</f>
        <v>0</v>
      </c>
      <c r="CM2" s="557">
        <f>'측정자 입력파일'!T48</f>
        <v>0</v>
      </c>
      <c r="CN2" s="557">
        <f>'측정자 입력파일'!T49</f>
        <v>0</v>
      </c>
      <c r="CO2" s="557">
        <f>'측정자 입력파일'!U48</f>
        <v>0</v>
      </c>
      <c r="CP2" s="557">
        <f>'측정자 입력파일'!U51</f>
        <v>0</v>
      </c>
      <c r="CQ2" s="557" t="str">
        <f>'측정자 입력파일'!T51</f>
        <v>취약</v>
      </c>
    </row>
    <row r="3" spans="1:95" s="394" customFormat="1" ht="16">
      <c r="A3" s="556" t="s">
        <v>394</v>
      </c>
      <c r="B3" s="434">
        <f>'측정자 입력파일'!$D$8</f>
        <v>77</v>
      </c>
      <c r="C3" s="435" t="str">
        <f>'측정자 입력파일'!$D$5</f>
        <v>서일화</v>
      </c>
      <c r="D3" s="435" t="str">
        <f>'측정자 입력파일'!$D$9</f>
        <v>갓피플주식회사</v>
      </c>
      <c r="E3" s="436" t="str">
        <f>'측정자 입력파일'!$D$10</f>
        <v>128-86-63141</v>
      </c>
      <c r="F3" s="435" t="str">
        <f>'측정자 입력파일'!$D$11</f>
        <v>제 2016-076 호</v>
      </c>
      <c r="G3" s="435">
        <f>'측정자 입력파일'!$D$12</f>
        <v>2011</v>
      </c>
      <c r="H3" s="435" t="str">
        <f>'측정자 입력파일'!$D$13</f>
        <v>박도선</v>
      </c>
      <c r="I3" s="435" t="str">
        <f>'측정자 입력파일'!$D$14</f>
        <v>안호영</v>
      </c>
      <c r="J3" s="435" t="str">
        <f>'측정자 입력파일'!$D$15</f>
        <v>031-944-0341</v>
      </c>
      <c r="K3" s="435" t="str">
        <f>'측정자 입력파일'!$D$17</f>
        <v>고양시</v>
      </c>
      <c r="L3" s="435" t="str">
        <f>'측정자 입력파일'!$D$18</f>
        <v>덕양구 호국로 787</v>
      </c>
      <c r="M3" s="435" t="str">
        <f>'측정자 입력파일'!$D$19</f>
        <v>인증 사회적기업</v>
      </c>
      <c r="N3" s="435" t="str">
        <f>'측정자 입력파일'!$D$20</f>
        <v>사업시설 관리, 사업 지원 및 임대 서비스업(N)</v>
      </c>
      <c r="O3" s="435" t="str">
        <f>'측정자 입력파일'!$D$22</f>
        <v>O</v>
      </c>
      <c r="P3" s="555"/>
      <c r="Q3" s="555"/>
      <c r="R3" s="555"/>
      <c r="S3" s="555"/>
      <c r="T3" s="555"/>
      <c r="U3" s="555"/>
      <c r="V3" s="555"/>
      <c r="W3" s="555"/>
      <c r="X3" s="555"/>
      <c r="Y3" s="555"/>
      <c r="Z3" s="555"/>
      <c r="AA3" s="555"/>
      <c r="AB3" s="555"/>
      <c r="AC3" s="555"/>
      <c r="AD3" s="555"/>
      <c r="AE3" s="555"/>
      <c r="AF3" s="555"/>
      <c r="AG3" s="555"/>
      <c r="AH3" s="555"/>
      <c r="AI3" s="555"/>
      <c r="AJ3" s="560">
        <f>'측정자 입력파일'!V5</f>
        <v>0</v>
      </c>
      <c r="AK3" s="560">
        <f>'측정자 입력파일'!V6</f>
        <v>0</v>
      </c>
      <c r="AL3" s="560">
        <f>'측정자 입력파일'!V9</f>
        <v>0</v>
      </c>
      <c r="AM3" s="560">
        <f>'측정자 입력파일'!V10</f>
        <v>0</v>
      </c>
      <c r="AN3" s="560">
        <f>'측정자 입력파일'!V11</f>
        <v>0</v>
      </c>
      <c r="AO3" s="560">
        <f>'측정자 입력파일'!V12</f>
        <v>0</v>
      </c>
      <c r="AP3" s="560">
        <f>'측정자 입력파일'!V13</f>
        <v>0</v>
      </c>
      <c r="AQ3" s="560"/>
      <c r="AR3" s="560"/>
      <c r="AS3" s="560">
        <f>'측정자 입력파일'!V17</f>
        <v>0</v>
      </c>
      <c r="AT3" s="560">
        <f>'측정자 입력파일'!V18</f>
        <v>0</v>
      </c>
      <c r="AU3" s="560">
        <f>'측정자 입력파일'!V19</f>
        <v>0</v>
      </c>
      <c r="AV3" s="560">
        <f>'측정자 입력파일'!V20</f>
        <v>0</v>
      </c>
      <c r="AW3" s="560"/>
      <c r="AX3" s="560"/>
      <c r="AY3" s="560">
        <f>'측정자 입력파일'!V25</f>
        <v>0</v>
      </c>
      <c r="AZ3" s="560">
        <f>'측정자 입력파일'!V26</f>
        <v>0</v>
      </c>
      <c r="BA3" s="560">
        <f>'측정자 입력파일'!V28</f>
        <v>0</v>
      </c>
      <c r="BB3" s="560">
        <f>'측정자 입력파일'!V29</f>
        <v>0</v>
      </c>
      <c r="BC3" s="560"/>
      <c r="BD3" s="560"/>
      <c r="BE3" s="560"/>
      <c r="BF3" s="560"/>
      <c r="BG3" s="560"/>
      <c r="BH3" s="560"/>
      <c r="BI3" s="560"/>
      <c r="BJ3" s="560"/>
      <c r="BK3" s="557">
        <f>'측정자 입력파일'!W5</f>
        <v>0</v>
      </c>
      <c r="BL3" s="557">
        <f>'측정자 입력파일'!W9</f>
        <v>0</v>
      </c>
      <c r="BM3" s="557">
        <f>SUM('측정자 입력파일'!V15:V19)</f>
        <v>0</v>
      </c>
      <c r="BN3" s="557">
        <f>'측정자 입력파일'!V20</f>
        <v>0</v>
      </c>
      <c r="BO3" s="557">
        <f>'측정자 입력파일'!W15</f>
        <v>0</v>
      </c>
      <c r="BP3" s="557">
        <f>'측정자 입력파일'!W22</f>
        <v>0</v>
      </c>
      <c r="BQ3" s="557">
        <f>'측정자 입력파일'!W23</f>
        <v>0</v>
      </c>
      <c r="BR3" s="557">
        <f>SUM('측정자 입력파일'!V25:V27)</f>
        <v>0</v>
      </c>
      <c r="BS3" s="557">
        <f>'측정자 입력파일'!V28</f>
        <v>0</v>
      </c>
      <c r="BT3" s="557">
        <f>'측정자 입력파일'!V29</f>
        <v>0</v>
      </c>
      <c r="BU3" s="557">
        <f>'측정자 입력파일'!W25</f>
        <v>0</v>
      </c>
      <c r="BV3" s="557">
        <f>'측정자 입력파일'!V31</f>
        <v>0</v>
      </c>
      <c r="BW3" s="557">
        <f>'측정자 입력파일'!V32</f>
        <v>0</v>
      </c>
      <c r="BX3" s="557">
        <f>'측정자 입력파일'!W31</f>
        <v>0</v>
      </c>
      <c r="BY3" s="557">
        <f>'측정자 입력파일'!W34</f>
        <v>0</v>
      </c>
      <c r="BZ3" s="557">
        <f>'측정자 입력파일'!W36</f>
        <v>0</v>
      </c>
      <c r="CA3" s="557">
        <f>'측정자 입력파일'!V39</f>
        <v>0</v>
      </c>
      <c r="CB3" s="557">
        <f>'측정자 입력파일'!V40</f>
        <v>0</v>
      </c>
      <c r="CC3" s="557">
        <f>'측정자 입력파일'!W39</f>
        <v>0</v>
      </c>
      <c r="CD3" s="557">
        <f>'측정자 입력파일'!V41</f>
        <v>0</v>
      </c>
      <c r="CE3" s="557">
        <f>'측정자 입력파일'!V42</f>
        <v>0</v>
      </c>
      <c r="CF3" s="557">
        <f>'측정자 입력파일'!W41</f>
        <v>0</v>
      </c>
      <c r="CG3" s="557">
        <f>'측정자 입력파일'!V43</f>
        <v>0</v>
      </c>
      <c r="CH3" s="557">
        <f>'측정자 입력파일'!V44</f>
        <v>0</v>
      </c>
      <c r="CI3" s="557">
        <f>'측정자 입력파일'!W43</f>
        <v>0</v>
      </c>
      <c r="CJ3" s="557">
        <f>'측정자 입력파일'!V45</f>
        <v>0</v>
      </c>
      <c r="CK3" s="557">
        <f>'측정자 입력파일'!V46</f>
        <v>0</v>
      </c>
      <c r="CL3" s="557">
        <f>'측정자 입력파일'!W45</f>
        <v>0</v>
      </c>
      <c r="CM3" s="557">
        <f>'측정자 입력파일'!V48</f>
        <v>0</v>
      </c>
      <c r="CN3" s="557">
        <f>'측정자 입력파일'!V49</f>
        <v>0</v>
      </c>
      <c r="CO3" s="557">
        <f>'측정자 입력파일'!W48</f>
        <v>0</v>
      </c>
      <c r="CP3" s="557">
        <f>'측정자 입력파일'!W51</f>
        <v>0</v>
      </c>
      <c r="CQ3" s="557" t="str">
        <f>'측정자 입력파일'!V51</f>
        <v>취약</v>
      </c>
    </row>
    <row r="4" spans="1:95" ht="16">
      <c r="A4" s="556" t="s">
        <v>529</v>
      </c>
      <c r="B4" s="434">
        <f>'측정자 입력파일'!$D$8</f>
        <v>77</v>
      </c>
      <c r="C4" s="435" t="str">
        <f>'측정자 입력파일'!$D$5</f>
        <v>서일화</v>
      </c>
      <c r="D4" s="435" t="str">
        <f>'측정자 입력파일'!$D$9</f>
        <v>갓피플주식회사</v>
      </c>
      <c r="E4" s="436" t="str">
        <f>'측정자 입력파일'!$D$10</f>
        <v>128-86-63141</v>
      </c>
      <c r="F4" s="435" t="str">
        <f>'측정자 입력파일'!$D$11</f>
        <v>제 2016-076 호</v>
      </c>
      <c r="G4" s="435">
        <f>'측정자 입력파일'!$D$12</f>
        <v>2011</v>
      </c>
      <c r="H4" s="435" t="str">
        <f>'측정자 입력파일'!$D$13</f>
        <v>박도선</v>
      </c>
      <c r="I4" s="435" t="str">
        <f>'측정자 입력파일'!$D$14</f>
        <v>안호영</v>
      </c>
      <c r="J4" s="435" t="str">
        <f>'측정자 입력파일'!$D$15</f>
        <v>031-944-0341</v>
      </c>
      <c r="K4" s="435" t="str">
        <f>'측정자 입력파일'!$D$17</f>
        <v>고양시</v>
      </c>
      <c r="L4" s="435" t="str">
        <f>'측정자 입력파일'!$D$18</f>
        <v>덕양구 호국로 787</v>
      </c>
      <c r="M4" s="435" t="str">
        <f>'측정자 입력파일'!$D$19</f>
        <v>인증 사회적기업</v>
      </c>
      <c r="N4" s="435" t="str">
        <f>'측정자 입력파일'!$D$20</f>
        <v>사업시설 관리, 사업 지원 및 임대 서비스업(N)</v>
      </c>
      <c r="O4" s="435" t="str">
        <f>'측정자 입력파일'!$D$22</f>
        <v>O</v>
      </c>
      <c r="P4" s="435">
        <f>'측정자 입력파일'!D50</f>
        <v>25</v>
      </c>
      <c r="Q4" s="435">
        <f>'측정자 입력파일'!D51</f>
        <v>25</v>
      </c>
      <c r="R4" s="435">
        <f>'측정자 입력파일'!D52</f>
        <v>19</v>
      </c>
      <c r="S4" s="437">
        <f>'측정자 입력파일'!D54</f>
        <v>1309292048</v>
      </c>
      <c r="T4" s="437">
        <f>'측정자 입력파일'!D55</f>
        <v>1281043104</v>
      </c>
      <c r="U4" s="437">
        <f>'측정자 입력파일'!D56</f>
        <v>-36070123</v>
      </c>
      <c r="V4" s="437">
        <f>'측정자 입력파일'!D57</f>
        <v>-24510416</v>
      </c>
      <c r="W4" s="437">
        <f>'측정자 입력파일'!D60</f>
        <v>49154954</v>
      </c>
      <c r="X4" s="435">
        <f>'측정자 입력파일'!D61</f>
        <v>2755</v>
      </c>
      <c r="Y4" s="437">
        <f>'측정자 입력파일'!D62</f>
        <v>17842.088566243194</v>
      </c>
      <c r="Z4" s="437">
        <f>'측정자 입력파일'!D65</f>
        <v>63076779</v>
      </c>
      <c r="AA4" s="437">
        <f>'측정자 입력파일'!D64</f>
        <v>3597</v>
      </c>
      <c r="AB4" s="437">
        <f>'측정자 입력파일'!D66</f>
        <v>17535.940783986654</v>
      </c>
      <c r="AC4" s="437">
        <f>'측정자 입력파일'!D68</f>
        <v>7791955</v>
      </c>
      <c r="AD4" s="437">
        <f>'측정자 입력파일'!D69</f>
        <v>420000</v>
      </c>
      <c r="AE4" s="437">
        <f>'측정자 입력파일'!D70</f>
        <v>2376909</v>
      </c>
      <c r="AF4" s="437">
        <f>'측정자 입력파일'!D71</f>
        <v>7801340</v>
      </c>
      <c r="AG4" s="437">
        <f>'측정자 입력파일'!D72</f>
        <v>35016800</v>
      </c>
      <c r="AH4" s="437">
        <f>'측정자 입력파일'!D75</f>
        <v>376557.96606269776</v>
      </c>
      <c r="AI4" s="437">
        <f>'측정자 입력파일'!D76</f>
        <v>356142.09174311929</v>
      </c>
      <c r="AJ4" s="561">
        <f>'측정자 입력파일'!X5</f>
        <v>1</v>
      </c>
      <c r="AK4" s="561">
        <f>'측정자 입력파일'!X6</f>
        <v>1</v>
      </c>
      <c r="AL4" s="561">
        <f>'측정자 입력파일'!X9</f>
        <v>1</v>
      </c>
      <c r="AM4" s="561">
        <f>'측정자 입력파일'!X10</f>
        <v>1</v>
      </c>
      <c r="AN4" s="561">
        <f>'측정자 입력파일'!X11</f>
        <v>1</v>
      </c>
      <c r="AO4" s="561">
        <f>'측정자 입력파일'!X12</f>
        <v>1</v>
      </c>
      <c r="AP4" s="561">
        <f>'측정자 입력파일'!X13</f>
        <v>1</v>
      </c>
      <c r="AQ4" s="562">
        <f>IF(O4="O",'측정자 입력파일'!Y15,"해당없음")</f>
        <v>0.76</v>
      </c>
      <c r="AR4" s="563">
        <f>IF(O4="O",'측정자 입력파일'!Y16,"해당없음")</f>
        <v>17842.088566243194</v>
      </c>
      <c r="AS4" s="561" t="str">
        <f>IF(O4="O","해당없음",'측정자 입력파일'!X17)</f>
        <v>해당없음</v>
      </c>
      <c r="AT4" s="561">
        <f>'측정자 입력파일'!X18</f>
        <v>1</v>
      </c>
      <c r="AU4" s="561">
        <f>'측정자 입력파일'!X19</f>
        <v>2</v>
      </c>
      <c r="AV4" s="561">
        <f>'측정자 입력파일'!X20</f>
        <v>10</v>
      </c>
      <c r="AW4" s="561">
        <f>'측정자 입력파일'!Y22</f>
        <v>8</v>
      </c>
      <c r="AX4" s="561">
        <f>'측정자 입력파일'!Y23</f>
        <v>11</v>
      </c>
      <c r="AY4" s="561">
        <f>'측정자 입력파일'!X25</f>
        <v>1</v>
      </c>
      <c r="AZ4" s="561">
        <f>'측정자 입력파일'!X26</f>
        <v>1</v>
      </c>
      <c r="BA4" s="561">
        <f>'측정자 입력파일'!X27</f>
        <v>1</v>
      </c>
      <c r="BB4" s="561">
        <f>'측정자 입력파일'!X29</f>
        <v>2</v>
      </c>
      <c r="BC4" s="562">
        <f>'측정자 입력파일'!Y31</f>
        <v>0.6428571428571429</v>
      </c>
      <c r="BD4" s="562">
        <f>'측정자 입력파일'!Y32</f>
        <v>1</v>
      </c>
      <c r="BE4" s="564">
        <f>'측정자 입력파일'!L41</f>
        <v>0</v>
      </c>
      <c r="BF4" s="564">
        <f>'측정자 입력파일'!M41</f>
        <v>39.299999999999997</v>
      </c>
      <c r="BG4" s="562">
        <f>'측정자 입력파일'!Y40</f>
        <v>0</v>
      </c>
      <c r="BH4" s="562">
        <f>'측정자 입력파일'!Y42</f>
        <v>-2.1575739380034788E-2</v>
      </c>
      <c r="BI4" s="562">
        <f>'측정자 입력파일'!Y44</f>
        <v>0.32047872417845652</v>
      </c>
      <c r="BJ4" s="562">
        <f>'측정자 입력파일'!Y46</f>
        <v>-5.4217082519983584E-2</v>
      </c>
      <c r="BK4" s="558">
        <f>'측정자 입력파일'!AA5</f>
        <v>2</v>
      </c>
      <c r="BL4" s="558">
        <f>'측정자 입력파일'!AA9</f>
        <v>5</v>
      </c>
      <c r="BM4" s="558">
        <f>SUM('측정자 입력파일'!Z15:Z19)</f>
        <v>4</v>
      </c>
      <c r="BN4" s="558">
        <f>'측정자 입력파일'!Z20</f>
        <v>10</v>
      </c>
      <c r="BO4" s="558">
        <f>'측정자 입력파일'!AA15</f>
        <v>14</v>
      </c>
      <c r="BP4" s="558">
        <f>'측정자 입력파일'!AA22</f>
        <v>5</v>
      </c>
      <c r="BQ4" s="558">
        <f>'측정자 입력파일'!AA23</f>
        <v>5</v>
      </c>
      <c r="BR4" s="558">
        <f>SUM('측정자 입력파일'!Z25:Z27)</f>
        <v>3</v>
      </c>
      <c r="BS4" s="558">
        <f>'측정자 입력파일'!Z28</f>
        <v>5</v>
      </c>
      <c r="BT4" s="558">
        <f>'측정자 입력파일'!Z29</f>
        <v>2</v>
      </c>
      <c r="BU4" s="558">
        <f>'측정자 입력파일'!AA25</f>
        <v>10</v>
      </c>
      <c r="BV4" s="558">
        <f>'측정자 입력파일'!Z31</f>
        <v>3</v>
      </c>
      <c r="BW4" s="558">
        <f>'측정자 입력파일'!Z32</f>
        <v>2</v>
      </c>
      <c r="BX4" s="558">
        <f>'측정자 입력파일'!AA31</f>
        <v>5</v>
      </c>
      <c r="BY4" s="558">
        <f>'측정자 입력파일'!AA34</f>
        <v>8</v>
      </c>
      <c r="BZ4" s="558">
        <f>'측정자 입력파일'!AA36</f>
        <v>5</v>
      </c>
      <c r="CA4" s="558">
        <f>'측정자 입력파일'!Z39</f>
        <v>4.8</v>
      </c>
      <c r="CB4" s="558">
        <f>'측정자 입력파일'!Z40</f>
        <v>2.5</v>
      </c>
      <c r="CC4" s="558">
        <f>'측정자 입력파일'!AA39</f>
        <v>7.3</v>
      </c>
      <c r="CD4" s="558">
        <f>'측정자 입력파일'!Z41</f>
        <v>4.8</v>
      </c>
      <c r="CE4" s="558">
        <f>'측정자 입력파일'!Z42</f>
        <v>2</v>
      </c>
      <c r="CF4" s="558">
        <f>'측정자 입력파일'!AA41</f>
        <v>6.8</v>
      </c>
      <c r="CG4" s="558">
        <f>'측정자 입력파일'!Z43</f>
        <v>2</v>
      </c>
      <c r="CH4" s="558">
        <f>'측정자 입력파일'!Z44</f>
        <v>1.5</v>
      </c>
      <c r="CI4" s="558">
        <f>'측정자 입력파일'!AA43</f>
        <v>3.5</v>
      </c>
      <c r="CJ4" s="558">
        <f>'측정자 입력파일'!Z45</f>
        <v>2</v>
      </c>
      <c r="CK4" s="558">
        <f>'측정자 입력파일'!Z46</f>
        <v>1.5</v>
      </c>
      <c r="CL4" s="558">
        <f>'측정자 입력파일'!AA45</f>
        <v>3.5</v>
      </c>
      <c r="CM4" s="558">
        <f>'측정자 입력파일'!X48</f>
        <v>5</v>
      </c>
      <c r="CN4" s="558">
        <f>'측정자 입력파일'!X49</f>
        <v>5</v>
      </c>
      <c r="CO4" s="558">
        <f>'측정자 입력파일'!AA48</f>
        <v>10</v>
      </c>
      <c r="CP4" s="558">
        <f>'측정자 입력파일'!AA51</f>
        <v>90.1</v>
      </c>
      <c r="CQ4" s="558" t="str">
        <f>'측정자 입력파일'!Z51</f>
        <v>탁월</v>
      </c>
    </row>
  </sheetData>
  <phoneticPr fontId="1" type="noConversion"/>
  <pageMargins left="0.7" right="0.7" top="0.75" bottom="0.75" header="0.3" footer="0.3"/>
  <pageSetup paperSize="9" orientation="portrait" r:id="rId1"/>
  <ignoredErrors>
    <ignoredError sqref="BM2:BM3 BR2:BR3" formulaRange="1"/>
  </ignoredErrors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558647-03BC-432A-819E-427997AC1A93}">
  <sheetPr codeName="Sheet1"/>
  <dimension ref="B1:DO66"/>
  <sheetViews>
    <sheetView view="pageLayout" zoomScale="60" zoomScaleNormal="70" zoomScalePageLayoutView="60" workbookViewId="0">
      <selection activeCell="R42" sqref="R42:U53"/>
    </sheetView>
  </sheetViews>
  <sheetFormatPr baseColWidth="10" defaultColWidth="9" defaultRowHeight="17"/>
  <cols>
    <col min="1" max="11" width="8.3984375" customWidth="1"/>
    <col min="12" max="12" width="4.796875" customWidth="1"/>
    <col min="22" max="22" width="6.796875" customWidth="1"/>
    <col min="23" max="23" width="3.3984375" customWidth="1"/>
    <col min="24" max="24" width="10" customWidth="1"/>
    <col min="25" max="25" width="6.3984375" customWidth="1"/>
    <col min="26" max="37" width="5.3984375" customWidth="1"/>
    <col min="38" max="38" width="6.796875" customWidth="1"/>
    <col min="39" max="39" width="4.19921875" customWidth="1"/>
    <col min="40" max="56" width="5" customWidth="1"/>
    <col min="57" max="57" width="4.3984375" customWidth="1"/>
    <col min="58" max="58" width="4" customWidth="1"/>
    <col min="59" max="59" width="4.3984375" customWidth="1"/>
    <col min="60" max="60" width="3.19921875" style="10" customWidth="1"/>
    <col min="61" max="61" width="5.59765625" style="10" customWidth="1"/>
    <col min="62" max="62" width="9.3984375" style="10" customWidth="1"/>
    <col min="63" max="72" width="4.59765625" style="10" customWidth="1"/>
    <col min="73" max="73" width="6.3984375" style="10" customWidth="1"/>
    <col min="74" max="78" width="4.59765625" style="10" customWidth="1"/>
    <col min="79" max="79" width="2.19921875" style="10" customWidth="1"/>
    <col min="80" max="80" width="2.59765625" style="10" customWidth="1"/>
    <col min="81" max="81" width="5.59765625" style="10" customWidth="1"/>
    <col min="82" max="82" width="9.3984375" style="10"/>
    <col min="83" max="98" width="4.796875" style="10" customWidth="1"/>
    <col min="99" max="99" width="1.3984375" style="10" customWidth="1"/>
    <col min="100" max="100" width="2" style="10" customWidth="1"/>
    <col min="101" max="101" width="5.59765625" style="10" customWidth="1"/>
    <col min="102" max="102" width="8.59765625" style="10" customWidth="1"/>
    <col min="103" max="118" width="4.796875" style="10" customWidth="1"/>
    <col min="119" max="119" width="2.59765625" style="10" customWidth="1"/>
  </cols>
  <sheetData>
    <row r="1" spans="2:119" ht="13.5" customHeight="1">
      <c r="BH1" s="8"/>
      <c r="BI1" s="8"/>
      <c r="BJ1" s="8"/>
      <c r="BK1" s="8"/>
      <c r="BL1" s="8"/>
      <c r="BM1" s="8"/>
      <c r="BN1" s="8"/>
      <c r="BO1" s="8"/>
      <c r="BP1" s="8"/>
      <c r="BQ1" s="8"/>
      <c r="BR1" s="8"/>
      <c r="BS1" s="8"/>
      <c r="BT1" s="8"/>
      <c r="BU1" s="8"/>
      <c r="BV1" s="8"/>
      <c r="BW1" s="8"/>
      <c r="BX1" s="8"/>
      <c r="BY1" s="8"/>
      <c r="BZ1" s="8"/>
      <c r="CA1" s="8"/>
      <c r="CB1" s="8"/>
      <c r="CC1" s="8"/>
      <c r="CD1" s="8"/>
      <c r="CE1" s="8"/>
      <c r="CF1" s="8"/>
      <c r="CG1" s="8"/>
      <c r="CH1" s="8"/>
      <c r="CI1" s="8"/>
      <c r="CJ1" s="8"/>
      <c r="CK1" s="8"/>
      <c r="CL1" s="8"/>
      <c r="CM1" s="8"/>
      <c r="CN1" s="8"/>
      <c r="CO1" s="8"/>
      <c r="CP1" s="8"/>
      <c r="CQ1" s="8"/>
      <c r="CR1" s="8"/>
      <c r="CS1" s="8"/>
      <c r="CT1" s="8"/>
      <c r="CU1" s="8"/>
      <c r="CV1" s="8"/>
      <c r="CW1" s="8"/>
      <c r="CX1" s="8"/>
      <c r="CY1" s="8"/>
      <c r="CZ1" s="8"/>
      <c r="DA1" s="8"/>
      <c r="DB1" s="8"/>
      <c r="DC1" s="8"/>
      <c r="DD1" s="8"/>
      <c r="DE1" s="8"/>
      <c r="DF1" s="8"/>
      <c r="DG1" s="8"/>
      <c r="DH1" s="8"/>
      <c r="DI1" s="8"/>
      <c r="DJ1" s="8"/>
      <c r="DK1" s="8"/>
      <c r="DL1" s="8"/>
      <c r="DM1" s="8"/>
      <c r="DN1" s="8"/>
      <c r="DO1" s="8"/>
    </row>
    <row r="2" spans="2:119" ht="13.5" customHeight="1">
      <c r="B2" s="685" t="str">
        <f>'측정자 입력파일'!D9</f>
        <v>갓피플주식회사</v>
      </c>
      <c r="C2" s="685"/>
      <c r="D2" s="685"/>
      <c r="E2" s="685"/>
      <c r="F2" s="685"/>
      <c r="G2" s="685"/>
      <c r="H2" s="685"/>
      <c r="I2" s="685"/>
      <c r="J2" s="685"/>
      <c r="BH2" s="8"/>
      <c r="BI2" s="323"/>
      <c r="BJ2" s="323"/>
      <c r="BK2" s="323"/>
      <c r="BL2" s="323"/>
      <c r="BM2" s="323"/>
      <c r="BN2" s="323"/>
      <c r="BO2" s="323"/>
      <c r="BP2" s="323"/>
      <c r="BQ2" s="323"/>
      <c r="BR2" s="322"/>
      <c r="BS2" s="322"/>
      <c r="BT2" s="322"/>
      <c r="BU2" s="322"/>
      <c r="BV2" s="322"/>
      <c r="BW2" s="322"/>
      <c r="BX2" s="322"/>
      <c r="BY2" s="322"/>
      <c r="BZ2" s="322"/>
      <c r="CA2" s="322"/>
      <c r="CB2" s="322"/>
      <c r="CU2" s="8"/>
      <c r="CV2" s="8"/>
      <c r="CW2" s="8"/>
      <c r="CX2" s="8"/>
      <c r="CY2" s="8"/>
      <c r="CZ2" s="8"/>
      <c r="DA2" s="8"/>
      <c r="DB2" s="8"/>
      <c r="DC2" s="8"/>
      <c r="DD2" s="8"/>
      <c r="DE2" s="8"/>
      <c r="DF2" s="8"/>
      <c r="DG2" s="8"/>
      <c r="DH2" s="8"/>
      <c r="DI2" s="8"/>
      <c r="DJ2" s="8"/>
      <c r="DK2" s="8"/>
      <c r="DL2" s="8"/>
      <c r="DM2" s="8"/>
      <c r="DN2" s="8"/>
      <c r="DO2" s="8"/>
    </row>
    <row r="3" spans="2:119" ht="13.5" customHeight="1">
      <c r="B3" s="685"/>
      <c r="C3" s="685"/>
      <c r="D3" s="685"/>
      <c r="E3" s="685"/>
      <c r="F3" s="685"/>
      <c r="G3" s="685"/>
      <c r="H3" s="685"/>
      <c r="I3" s="685"/>
      <c r="J3" s="685"/>
      <c r="BH3" s="8"/>
      <c r="BI3" s="322"/>
      <c r="BJ3" s="322"/>
      <c r="BK3" s="322"/>
      <c r="BL3" s="322"/>
      <c r="BM3" s="322"/>
      <c r="BN3" s="322"/>
      <c r="BO3" s="322"/>
      <c r="BP3" s="322"/>
      <c r="BQ3" s="322"/>
      <c r="BR3" s="322"/>
      <c r="BS3" s="322"/>
      <c r="BT3" s="322"/>
      <c r="BU3" s="322"/>
      <c r="BV3" s="322"/>
      <c r="BW3" s="322"/>
      <c r="BX3" s="322"/>
      <c r="BY3" s="322"/>
      <c r="BZ3" s="322"/>
      <c r="CA3" s="322"/>
      <c r="CB3" s="322"/>
      <c r="CU3" s="8"/>
      <c r="CV3" s="8"/>
      <c r="CW3" s="8"/>
      <c r="CX3" s="8"/>
      <c r="CY3" s="8"/>
      <c r="CZ3" s="8"/>
      <c r="DA3" s="8"/>
      <c r="DB3" s="8"/>
      <c r="DC3" s="8"/>
      <c r="DD3" s="8"/>
      <c r="DE3" s="8"/>
      <c r="DF3" s="8"/>
      <c r="DG3" s="8"/>
      <c r="DH3" s="8"/>
      <c r="DI3" s="8"/>
      <c r="DJ3" s="8"/>
      <c r="DK3" s="8"/>
      <c r="DL3" s="8"/>
      <c r="DM3" s="8"/>
      <c r="DN3" s="8"/>
      <c r="DO3" s="8"/>
    </row>
    <row r="4" spans="2:119" ht="13.5" customHeight="1" thickBot="1">
      <c r="B4" s="685"/>
      <c r="C4" s="685"/>
      <c r="D4" s="685"/>
      <c r="E4" s="685"/>
      <c r="F4" s="685"/>
      <c r="G4" s="685"/>
      <c r="H4" s="685"/>
      <c r="I4" s="685"/>
      <c r="J4" s="685"/>
      <c r="X4" s="298"/>
      <c r="Y4" s="298"/>
      <c r="Z4" s="298"/>
      <c r="AA4" s="298"/>
      <c r="AB4" s="298"/>
      <c r="AC4" s="298"/>
      <c r="AD4" s="298"/>
      <c r="AE4" s="298"/>
      <c r="AF4" s="298"/>
      <c r="AG4" s="298"/>
      <c r="AH4" s="298"/>
      <c r="AI4" s="298"/>
      <c r="AJ4" s="298"/>
      <c r="AK4" s="298"/>
      <c r="AL4" s="298"/>
      <c r="AO4" s="298"/>
      <c r="AP4" s="298"/>
      <c r="AQ4" s="298"/>
      <c r="AR4" s="298"/>
      <c r="AS4" s="298"/>
      <c r="AT4" s="298"/>
      <c r="AU4" s="298"/>
      <c r="AV4" s="298"/>
      <c r="AW4" s="298"/>
      <c r="AX4" s="298"/>
      <c r="AY4" s="298"/>
      <c r="AZ4" s="298"/>
      <c r="BA4" s="298"/>
      <c r="BB4" s="298"/>
      <c r="BC4" s="298"/>
      <c r="BD4" s="298"/>
      <c r="BE4" s="298"/>
      <c r="BF4" s="298"/>
      <c r="BH4" s="8"/>
      <c r="BI4" s="8"/>
      <c r="BJ4" s="8"/>
      <c r="BK4" s="8"/>
      <c r="BL4" s="8"/>
      <c r="BM4" s="8"/>
      <c r="BN4" s="8"/>
      <c r="BO4" s="8"/>
      <c r="BP4" s="8"/>
      <c r="BQ4" s="8"/>
      <c r="BR4" s="8"/>
      <c r="BS4" s="8"/>
      <c r="BT4" s="8"/>
      <c r="BU4" s="8"/>
      <c r="BV4" s="8"/>
      <c r="BW4" s="8"/>
      <c r="BX4" s="8"/>
      <c r="BY4" s="8"/>
      <c r="BZ4" s="8"/>
      <c r="CA4" s="8"/>
      <c r="CB4" s="8"/>
      <c r="CU4" s="8"/>
      <c r="CV4" s="8"/>
      <c r="CW4" s="8"/>
      <c r="CX4" s="8"/>
      <c r="CY4" s="8"/>
      <c r="CZ4" s="8"/>
      <c r="DA4" s="8"/>
      <c r="DB4" s="8"/>
      <c r="DC4" s="8"/>
      <c r="DD4" s="8"/>
      <c r="DE4" s="8"/>
      <c r="DF4" s="8"/>
      <c r="DG4" s="8"/>
      <c r="DH4" s="8"/>
      <c r="DI4" s="8"/>
      <c r="DJ4" s="8"/>
      <c r="DK4" s="8"/>
      <c r="DL4" s="8"/>
      <c r="DM4" s="8"/>
      <c r="DN4" s="8"/>
      <c r="DO4" s="8"/>
    </row>
    <row r="5" spans="2:119" ht="13.5" customHeight="1" thickBot="1">
      <c r="B5" s="685"/>
      <c r="C5" s="685"/>
      <c r="D5" s="685"/>
      <c r="E5" s="685"/>
      <c r="F5" s="685"/>
      <c r="G5" s="685"/>
      <c r="H5" s="685"/>
      <c r="I5" s="685"/>
      <c r="J5" s="685"/>
      <c r="X5" s="788" t="s">
        <v>144</v>
      </c>
      <c r="Y5" s="789" t="s">
        <v>408</v>
      </c>
      <c r="Z5" s="760" t="s">
        <v>387</v>
      </c>
      <c r="AA5" s="760"/>
      <c r="AB5" s="760"/>
      <c r="AC5" s="760"/>
      <c r="AD5" s="760"/>
      <c r="AE5" s="760"/>
      <c r="AF5" s="760"/>
      <c r="AG5" s="760"/>
      <c r="AH5" s="760"/>
      <c r="AI5" s="760"/>
      <c r="AJ5" s="760"/>
      <c r="AK5" s="760"/>
      <c r="AL5" s="760"/>
      <c r="AM5" s="278"/>
      <c r="AN5" s="278"/>
      <c r="AO5" s="278"/>
      <c r="AP5" s="278"/>
      <c r="AQ5" s="278"/>
      <c r="AR5" s="278"/>
      <c r="AS5" s="278"/>
      <c r="AT5" s="278"/>
      <c r="BH5" s="8"/>
      <c r="BI5" s="687" t="s">
        <v>49</v>
      </c>
      <c r="BJ5" s="688"/>
      <c r="BK5" s="360" t="s">
        <v>50</v>
      </c>
      <c r="BL5" s="361"/>
      <c r="BM5" s="361"/>
      <c r="BN5" s="361"/>
      <c r="BO5" s="361"/>
      <c r="BP5" s="361"/>
      <c r="BQ5" s="361"/>
      <c r="BR5" s="361"/>
      <c r="BS5" s="361"/>
      <c r="BT5" s="361"/>
      <c r="BU5" s="361"/>
      <c r="BV5" s="361"/>
      <c r="BW5" s="361"/>
      <c r="BX5" s="361"/>
      <c r="BY5" s="11">
        <f>'측정자 입력파일'!AA5</f>
        <v>2</v>
      </c>
      <c r="BZ5" s="12"/>
      <c r="CA5" s="8"/>
      <c r="CB5" s="8"/>
      <c r="CC5" s="687" t="s">
        <v>55</v>
      </c>
      <c r="CD5" s="688"/>
      <c r="CE5" s="371" t="s">
        <v>56</v>
      </c>
      <c r="CF5" s="9"/>
      <c r="CG5" s="9"/>
      <c r="CH5" s="9"/>
      <c r="CI5" s="9"/>
      <c r="CJ5" s="9"/>
      <c r="CK5" s="9"/>
      <c r="CL5" s="9"/>
      <c r="CM5" s="9"/>
      <c r="CN5" s="9"/>
      <c r="CO5" s="9"/>
      <c r="CP5" s="9"/>
      <c r="CQ5" s="9"/>
      <c r="CR5" s="9"/>
      <c r="CS5" s="325">
        <f>'측정자 입력파일'!AA25</f>
        <v>10</v>
      </c>
      <c r="CT5" s="326"/>
      <c r="CU5" s="8"/>
      <c r="CV5" s="8"/>
      <c r="CW5" s="687" t="s">
        <v>101</v>
      </c>
      <c r="CX5" s="688"/>
      <c r="CY5" s="360" t="s">
        <v>102</v>
      </c>
      <c r="CZ5" s="361"/>
      <c r="DA5" s="361"/>
      <c r="DB5" s="361"/>
      <c r="DC5" s="361"/>
      <c r="DD5" s="361"/>
      <c r="DE5" s="361"/>
      <c r="DF5" s="361"/>
      <c r="DG5" s="361"/>
      <c r="DH5" s="361"/>
      <c r="DI5" s="361"/>
      <c r="DJ5" s="361"/>
      <c r="DK5" s="361"/>
      <c r="DL5" s="369"/>
      <c r="DM5" s="11">
        <f>'측정자 입력파일'!AA39</f>
        <v>7.3</v>
      </c>
      <c r="DN5" s="12"/>
      <c r="DO5" s="8"/>
    </row>
    <row r="6" spans="2:119" ht="13.5" customHeight="1">
      <c r="B6" s="685"/>
      <c r="C6" s="685"/>
      <c r="D6" s="685"/>
      <c r="E6" s="685"/>
      <c r="F6" s="685"/>
      <c r="G6" s="685"/>
      <c r="H6" s="685"/>
      <c r="I6" s="685"/>
      <c r="J6" s="685"/>
      <c r="X6" s="788"/>
      <c r="Y6" s="789"/>
      <c r="Z6" s="760"/>
      <c r="AA6" s="760"/>
      <c r="AB6" s="760"/>
      <c r="AC6" s="760"/>
      <c r="AD6" s="760"/>
      <c r="AE6" s="760"/>
      <c r="AF6" s="760"/>
      <c r="AG6" s="760"/>
      <c r="AH6" s="760"/>
      <c r="AI6" s="760"/>
      <c r="AJ6" s="760"/>
      <c r="AK6" s="760"/>
      <c r="AL6" s="760"/>
      <c r="AM6" s="278"/>
      <c r="AN6" s="278"/>
      <c r="AO6" s="278"/>
      <c r="AP6" s="278"/>
      <c r="AQ6" s="278"/>
      <c r="AR6" s="278"/>
      <c r="AS6" s="278"/>
      <c r="AT6" s="278"/>
      <c r="BH6" s="8"/>
      <c r="BI6" s="689"/>
      <c r="BJ6" s="690"/>
      <c r="BK6" s="338" t="s">
        <v>446</v>
      </c>
      <c r="BL6" s="339"/>
      <c r="BM6" s="339"/>
      <c r="BN6" s="339"/>
      <c r="BO6" s="339"/>
      <c r="BP6" s="339"/>
      <c r="BQ6" s="339"/>
      <c r="BR6" s="339"/>
      <c r="BS6" s="339"/>
      <c r="BT6" s="339"/>
      <c r="BU6" s="339"/>
      <c r="BV6" s="339"/>
      <c r="BW6" s="339"/>
      <c r="BX6" s="339"/>
      <c r="BY6" s="703" t="str">
        <f>IF('측정자 입력파일'!X5=1,"O","X")</f>
        <v>O</v>
      </c>
      <c r="BZ6" s="704"/>
      <c r="CA6" s="8"/>
      <c r="CB6" s="8"/>
      <c r="CC6" s="689"/>
      <c r="CD6" s="690"/>
      <c r="CE6" s="707" t="s">
        <v>63</v>
      </c>
      <c r="CF6" s="708"/>
      <c r="CG6" s="14" t="s">
        <v>65</v>
      </c>
      <c r="CH6" s="14"/>
      <c r="CI6" s="14"/>
      <c r="CJ6" s="14"/>
      <c r="CK6" s="14"/>
      <c r="CL6" s="14"/>
      <c r="CM6" s="14"/>
      <c r="CN6" s="14"/>
      <c r="CO6" s="14"/>
      <c r="CP6" s="14"/>
      <c r="CQ6" s="14"/>
      <c r="CR6" s="14"/>
      <c r="CS6" s="327" t="str">
        <f>IF('측정자 입력파일'!Z25=1,"O","X")</f>
        <v>O</v>
      </c>
      <c r="CT6" s="372"/>
      <c r="CU6" s="8"/>
      <c r="CV6" s="8"/>
      <c r="CW6" s="689"/>
      <c r="CX6" s="690"/>
      <c r="CY6" s="16" t="s">
        <v>435</v>
      </c>
      <c r="CZ6" s="17"/>
      <c r="DA6" s="17"/>
      <c r="DB6" s="17"/>
      <c r="DC6" s="17"/>
      <c r="DD6" s="17"/>
      <c r="DE6" s="17"/>
      <c r="DF6" s="17"/>
      <c r="DG6" s="17"/>
      <c r="DH6" s="17"/>
      <c r="DI6" s="17"/>
      <c r="DJ6" s="17"/>
      <c r="DK6" s="352"/>
      <c r="DL6" s="353">
        <f>'측정자 입력파일'!Y39</f>
        <v>25</v>
      </c>
      <c r="DM6" s="354"/>
      <c r="DN6" s="380"/>
      <c r="DO6" s="8"/>
    </row>
    <row r="7" spans="2:119" ht="13.5" customHeight="1">
      <c r="B7" s="685"/>
      <c r="C7" s="685"/>
      <c r="D7" s="685"/>
      <c r="E7" s="685"/>
      <c r="F7" s="685"/>
      <c r="G7" s="685"/>
      <c r="H7" s="685"/>
      <c r="I7" s="685"/>
      <c r="J7" s="685"/>
      <c r="X7" s="771" t="s">
        <v>49</v>
      </c>
      <c r="Y7" s="760">
        <f>'측정자 입력파일'!AA5</f>
        <v>2</v>
      </c>
      <c r="Z7" s="787" t="str">
        <f>'측정자 입력파일'!AD5</f>
        <v>사회적 목적이 명시된 정관을 보유하고 있으며, 홈페이지를 통해 대외적으로 공표하고 있음</v>
      </c>
      <c r="AA7" s="787"/>
      <c r="AB7" s="787"/>
      <c r="AC7" s="787"/>
      <c r="AD7" s="787"/>
      <c r="AE7" s="787"/>
      <c r="AF7" s="787"/>
      <c r="AG7" s="787"/>
      <c r="AH7" s="787"/>
      <c r="AI7" s="787"/>
      <c r="AJ7" s="787"/>
      <c r="AK7" s="787"/>
      <c r="AL7" s="787"/>
      <c r="BH7" s="8"/>
      <c r="BI7" s="689"/>
      <c r="BJ7" s="690"/>
      <c r="BK7" s="39" t="s">
        <v>447</v>
      </c>
      <c r="BL7" s="13"/>
      <c r="BM7" s="13"/>
      <c r="BN7" s="13"/>
      <c r="BO7" s="13"/>
      <c r="BP7" s="13"/>
      <c r="BQ7" s="13"/>
      <c r="BR7" s="13"/>
      <c r="BS7" s="13"/>
      <c r="BT7" s="13"/>
      <c r="BU7" s="13"/>
      <c r="BV7" s="13"/>
      <c r="BW7" s="13"/>
      <c r="BX7" s="13"/>
      <c r="BY7" s="705" t="str">
        <f>IF('측정자 입력파일'!X6=1,"O","X")</f>
        <v>O</v>
      </c>
      <c r="BZ7" s="706"/>
      <c r="CA7" s="8"/>
      <c r="CB7" s="8"/>
      <c r="CC7" s="689"/>
      <c r="CD7" s="690"/>
      <c r="CE7" s="709"/>
      <c r="CF7" s="710"/>
      <c r="CG7" s="19" t="s">
        <v>71</v>
      </c>
      <c r="CH7" s="19"/>
      <c r="CI7" s="19"/>
      <c r="CJ7" s="19"/>
      <c r="CK7" s="19"/>
      <c r="CL7" s="19"/>
      <c r="CM7" s="19"/>
      <c r="CN7" s="19"/>
      <c r="CO7" s="19"/>
      <c r="CP7" s="19"/>
      <c r="CQ7" s="19"/>
      <c r="CR7" s="19"/>
      <c r="CS7" s="15" t="str">
        <f>IF('측정자 입력파일'!Z26=1,"O","X")</f>
        <v>O</v>
      </c>
      <c r="CT7" s="363"/>
      <c r="CU7" s="8"/>
      <c r="CV7" s="8"/>
      <c r="CW7" s="689"/>
      <c r="CX7" s="690"/>
      <c r="CY7" s="335" t="s">
        <v>109</v>
      </c>
      <c r="CZ7" s="336"/>
      <c r="DA7" s="336"/>
      <c r="DB7" s="336"/>
      <c r="DC7" s="336"/>
      <c r="DD7" s="336"/>
      <c r="DE7" s="336"/>
      <c r="DF7" s="336"/>
      <c r="DG7" s="336"/>
      <c r="DH7" s="336"/>
      <c r="DI7" s="336"/>
      <c r="DJ7" s="336"/>
      <c r="DK7" s="355"/>
      <c r="DL7" s="356">
        <f>'측정자 입력파일'!AE97</f>
        <v>26</v>
      </c>
      <c r="DM7" s="355"/>
      <c r="DN7" s="381"/>
      <c r="DO7" s="8"/>
    </row>
    <row r="8" spans="2:119" ht="13.5" customHeight="1" thickBot="1">
      <c r="B8" s="685"/>
      <c r="C8" s="685"/>
      <c r="D8" s="685"/>
      <c r="E8" s="685"/>
      <c r="F8" s="685"/>
      <c r="G8" s="685"/>
      <c r="H8" s="685"/>
      <c r="I8" s="685"/>
      <c r="J8" s="685"/>
      <c r="X8" s="771"/>
      <c r="Y8" s="760"/>
      <c r="Z8" s="787"/>
      <c r="AA8" s="787"/>
      <c r="AB8" s="787"/>
      <c r="AC8" s="787"/>
      <c r="AD8" s="787"/>
      <c r="AE8" s="787"/>
      <c r="AF8" s="787"/>
      <c r="AG8" s="787"/>
      <c r="AH8" s="787"/>
      <c r="AI8" s="787"/>
      <c r="AJ8" s="787"/>
      <c r="AK8" s="787"/>
      <c r="AL8" s="787"/>
      <c r="BH8" s="8"/>
      <c r="BI8" s="691" t="s">
        <v>76</v>
      </c>
      <c r="BJ8" s="692"/>
      <c r="BK8" s="772"/>
      <c r="BL8" s="772"/>
      <c r="BM8" s="772"/>
      <c r="BN8" s="772"/>
      <c r="BO8" s="772"/>
      <c r="BP8" s="772"/>
      <c r="BQ8" s="772"/>
      <c r="BR8" s="772"/>
      <c r="BS8" s="772"/>
      <c r="BT8" s="772"/>
      <c r="BU8" s="772"/>
      <c r="BV8" s="772"/>
      <c r="BW8" s="772"/>
      <c r="BX8" s="772"/>
      <c r="BY8" s="772"/>
      <c r="BZ8" s="773"/>
      <c r="CA8" s="8"/>
      <c r="CB8" s="8"/>
      <c r="CC8" s="689"/>
      <c r="CD8" s="690"/>
      <c r="CE8" s="711"/>
      <c r="CF8" s="712"/>
      <c r="CG8" s="24" t="s">
        <v>82</v>
      </c>
      <c r="CH8" s="24"/>
      <c r="CI8" s="24"/>
      <c r="CJ8" s="24"/>
      <c r="CK8" s="24"/>
      <c r="CL8" s="24"/>
      <c r="CM8" s="24"/>
      <c r="CN8" s="24"/>
      <c r="CO8" s="24"/>
      <c r="CP8" s="24"/>
      <c r="CQ8" s="24"/>
      <c r="CR8" s="24"/>
      <c r="CS8" s="23" t="str">
        <f>IF('측정자 입력파일'!Z27=1,"O","X")</f>
        <v>O</v>
      </c>
      <c r="CT8" s="364"/>
      <c r="CU8" s="8"/>
      <c r="CV8" s="8"/>
      <c r="CW8" s="719"/>
      <c r="CX8" s="720"/>
      <c r="CY8" s="382" t="s">
        <v>436</v>
      </c>
      <c r="CZ8" s="41"/>
      <c r="DA8" s="41"/>
      <c r="DB8" s="41"/>
      <c r="DC8" s="41"/>
      <c r="DD8" s="41"/>
      <c r="DE8" s="41"/>
      <c r="DF8" s="41"/>
      <c r="DG8" s="41"/>
      <c r="DH8" s="41"/>
      <c r="DI8" s="41"/>
      <c r="DJ8" s="41"/>
      <c r="DK8" s="383"/>
      <c r="DL8" s="384" t="str">
        <f>IF(((DL6-DL7)/DL7)&gt;0,"전년대비 증가",IF(((DL6-DL7)/DL7)=0,"유지","전년 대비 감소"))</f>
        <v>전년 대비 감소</v>
      </c>
      <c r="DM8" s="385"/>
      <c r="DN8" s="386"/>
      <c r="DO8" s="8"/>
    </row>
    <row r="9" spans="2:119" ht="13.5" customHeight="1" thickBot="1">
      <c r="B9" s="685"/>
      <c r="C9" s="685"/>
      <c r="D9" s="685"/>
      <c r="E9" s="685"/>
      <c r="F9" s="685"/>
      <c r="G9" s="685"/>
      <c r="H9" s="685"/>
      <c r="I9" s="685"/>
      <c r="J9" s="685"/>
      <c r="X9" s="771"/>
      <c r="Y9" s="760"/>
      <c r="Z9" s="787"/>
      <c r="AA9" s="787"/>
      <c r="AB9" s="787"/>
      <c r="AC9" s="787"/>
      <c r="AD9" s="787"/>
      <c r="AE9" s="787"/>
      <c r="AF9" s="787"/>
      <c r="AG9" s="787"/>
      <c r="AH9" s="787"/>
      <c r="AI9" s="787"/>
      <c r="AJ9" s="787"/>
      <c r="AK9" s="787"/>
      <c r="AL9" s="787"/>
      <c r="BH9" s="8"/>
      <c r="BI9" s="693"/>
      <c r="BJ9" s="694"/>
      <c r="BK9" s="774"/>
      <c r="BL9" s="774"/>
      <c r="BM9" s="774"/>
      <c r="BN9" s="774"/>
      <c r="BO9" s="774"/>
      <c r="BP9" s="774"/>
      <c r="BQ9" s="774"/>
      <c r="BR9" s="774"/>
      <c r="BS9" s="774"/>
      <c r="BT9" s="774"/>
      <c r="BU9" s="774"/>
      <c r="BV9" s="774"/>
      <c r="BW9" s="774"/>
      <c r="BX9" s="774"/>
      <c r="BY9" s="774"/>
      <c r="BZ9" s="775"/>
      <c r="CA9" s="8"/>
      <c r="CB9" s="8"/>
      <c r="CC9" s="689"/>
      <c r="CD9" s="690"/>
      <c r="CE9" s="707" t="s">
        <v>80</v>
      </c>
      <c r="CF9" s="708"/>
      <c r="CG9" s="338" t="s">
        <v>431</v>
      </c>
      <c r="CH9" s="339"/>
      <c r="CI9" s="339"/>
      <c r="CJ9" s="339"/>
      <c r="CK9" s="339"/>
      <c r="CL9" s="339"/>
      <c r="CM9" s="339"/>
      <c r="CN9" s="339"/>
      <c r="CO9" s="339"/>
      <c r="CP9" s="339"/>
      <c r="CQ9" s="781">
        <f>'측정자 입력파일'!Y28</f>
        <v>42818140</v>
      </c>
      <c r="CR9" s="781"/>
      <c r="CS9" s="781"/>
      <c r="CT9" s="782"/>
      <c r="CU9" s="8"/>
      <c r="CV9" s="8"/>
      <c r="CW9" s="8"/>
      <c r="CX9" s="8"/>
      <c r="CY9" s="8"/>
      <c r="CZ9" s="8"/>
      <c r="DA9" s="8"/>
      <c r="DB9" s="8"/>
      <c r="DC9" s="8"/>
      <c r="DD9" s="8"/>
      <c r="DE9" s="8"/>
      <c r="DF9" s="8"/>
      <c r="DG9" s="8"/>
      <c r="DH9" s="8"/>
      <c r="DI9" s="8"/>
      <c r="DJ9" s="8"/>
      <c r="DK9" s="8"/>
      <c r="DL9" s="8"/>
      <c r="DM9" s="8"/>
      <c r="DN9" s="8"/>
      <c r="DO9" s="8"/>
    </row>
    <row r="10" spans="2:119" ht="13.5" customHeight="1" thickBot="1">
      <c r="B10" s="685"/>
      <c r="C10" s="685"/>
      <c r="D10" s="685"/>
      <c r="E10" s="685"/>
      <c r="F10" s="685"/>
      <c r="G10" s="685"/>
      <c r="H10" s="685"/>
      <c r="I10" s="685"/>
      <c r="J10" s="685"/>
      <c r="X10" s="771" t="s">
        <v>388</v>
      </c>
      <c r="Y10" s="760">
        <f>'측정자 입력파일'!AA9</f>
        <v>5</v>
      </c>
      <c r="Z10" s="761" t="str">
        <f>'측정자 입력파일'!AD9</f>
        <v>지금처럼 잘 유지하도록 하되, 매년 기업 내부에서 집중 할 사회적 성과 목표에 대한 계획을 수립하고 정기적으로 관리하도록 요함</v>
      </c>
      <c r="AA10" s="761"/>
      <c r="AB10" s="761"/>
      <c r="AC10" s="761"/>
      <c r="AD10" s="761"/>
      <c r="AE10" s="761"/>
      <c r="AF10" s="761"/>
      <c r="AG10" s="761"/>
      <c r="AH10" s="761"/>
      <c r="AI10" s="761"/>
      <c r="AJ10" s="761"/>
      <c r="AK10" s="761"/>
      <c r="AL10" s="761"/>
      <c r="BH10" s="8"/>
      <c r="BI10" s="693"/>
      <c r="BJ10" s="694"/>
      <c r="BK10" s="774"/>
      <c r="BL10" s="774"/>
      <c r="BM10" s="774"/>
      <c r="BN10" s="774"/>
      <c r="BO10" s="774"/>
      <c r="BP10" s="774"/>
      <c r="BQ10" s="774"/>
      <c r="BR10" s="774"/>
      <c r="BS10" s="774"/>
      <c r="BT10" s="774"/>
      <c r="BU10" s="774"/>
      <c r="BV10" s="774"/>
      <c r="BW10" s="774"/>
      <c r="BX10" s="774"/>
      <c r="BY10" s="774"/>
      <c r="BZ10" s="775"/>
      <c r="CA10" s="8"/>
      <c r="CB10" s="8"/>
      <c r="CC10" s="689"/>
      <c r="CD10" s="690"/>
      <c r="CE10" s="709"/>
      <c r="CF10" s="710"/>
      <c r="CG10" s="340" t="s">
        <v>432</v>
      </c>
      <c r="CH10" s="341"/>
      <c r="CI10" s="341"/>
      <c r="CJ10" s="341"/>
      <c r="CK10" s="341"/>
      <c r="CL10" s="341"/>
      <c r="CM10" s="341"/>
      <c r="CN10" s="341"/>
      <c r="CO10" s="341"/>
      <c r="CP10" s="341"/>
      <c r="CQ10" s="783">
        <f>'측정자 입력파일'!D73</f>
        <v>8879337</v>
      </c>
      <c r="CR10" s="783"/>
      <c r="CS10" s="783"/>
      <c r="CT10" s="784"/>
      <c r="CU10" s="8"/>
      <c r="CV10" s="8"/>
      <c r="CW10" s="687" t="s">
        <v>117</v>
      </c>
      <c r="CX10" s="688"/>
      <c r="CY10" s="360" t="s">
        <v>118</v>
      </c>
      <c r="CZ10" s="361"/>
      <c r="DA10" s="361"/>
      <c r="DB10" s="361"/>
      <c r="DC10" s="361"/>
      <c r="DD10" s="361"/>
      <c r="DE10" s="361"/>
      <c r="DF10" s="361"/>
      <c r="DG10" s="361"/>
      <c r="DH10" s="361"/>
      <c r="DI10" s="361"/>
      <c r="DJ10" s="361"/>
      <c r="DK10" s="361"/>
      <c r="DL10" s="369"/>
      <c r="DM10" s="11">
        <f>'측정자 입력파일'!AA41</f>
        <v>6.8</v>
      </c>
      <c r="DN10" s="12"/>
      <c r="DO10" s="8"/>
    </row>
    <row r="11" spans="2:119" ht="13.5" customHeight="1" thickBot="1">
      <c r="B11" s="685"/>
      <c r="C11" s="685"/>
      <c r="D11" s="685"/>
      <c r="E11" s="685"/>
      <c r="F11" s="685"/>
      <c r="G11" s="685"/>
      <c r="H11" s="685"/>
      <c r="I11" s="685"/>
      <c r="J11" s="685"/>
      <c r="X11" s="771"/>
      <c r="Y11" s="760"/>
      <c r="Z11" s="761"/>
      <c r="AA11" s="761"/>
      <c r="AB11" s="761"/>
      <c r="AC11" s="761"/>
      <c r="AD11" s="761"/>
      <c r="AE11" s="761"/>
      <c r="AF11" s="761"/>
      <c r="AG11" s="761"/>
      <c r="AH11" s="761"/>
      <c r="AI11" s="761"/>
      <c r="AJ11" s="761"/>
      <c r="AK11" s="761"/>
      <c r="AL11" s="761"/>
      <c r="BH11" s="8"/>
      <c r="BI11" s="695"/>
      <c r="BJ11" s="696"/>
      <c r="BK11" s="776"/>
      <c r="BL11" s="776"/>
      <c r="BM11" s="776"/>
      <c r="BN11" s="776"/>
      <c r="BO11" s="776"/>
      <c r="BP11" s="776"/>
      <c r="BQ11" s="776"/>
      <c r="BR11" s="776"/>
      <c r="BS11" s="776"/>
      <c r="BT11" s="776"/>
      <c r="BU11" s="776"/>
      <c r="BV11" s="776"/>
      <c r="BW11" s="776"/>
      <c r="BX11" s="776"/>
      <c r="BY11" s="776"/>
      <c r="BZ11" s="777"/>
      <c r="CA11" s="8"/>
      <c r="CB11" s="8"/>
      <c r="CC11" s="689"/>
      <c r="CD11" s="690"/>
      <c r="CE11" s="709"/>
      <c r="CF11" s="710"/>
      <c r="CG11" s="340" t="s">
        <v>433</v>
      </c>
      <c r="CH11" s="341"/>
      <c r="CI11" s="341"/>
      <c r="CJ11" s="341"/>
      <c r="CK11" s="341"/>
      <c r="CL11" s="341"/>
      <c r="CM11" s="341"/>
      <c r="CN11" s="341"/>
      <c r="CO11" s="341"/>
      <c r="CP11" s="341"/>
      <c r="CQ11" s="342"/>
      <c r="CR11" s="785">
        <f>CQ9/CQ10</f>
        <v>4.8222226501821028</v>
      </c>
      <c r="CS11" s="785"/>
      <c r="CT11" s="786"/>
      <c r="CU11" s="8"/>
      <c r="CV11" s="8"/>
      <c r="CW11" s="689"/>
      <c r="CX11" s="690"/>
      <c r="CY11" s="16" t="s">
        <v>437</v>
      </c>
      <c r="CZ11" s="17"/>
      <c r="DA11" s="17"/>
      <c r="DB11" s="17"/>
      <c r="DC11" s="17"/>
      <c r="DD11" s="17"/>
      <c r="DE11" s="17"/>
      <c r="DF11" s="17"/>
      <c r="DG11" s="17"/>
      <c r="DH11" s="17"/>
      <c r="DI11" s="17"/>
      <c r="DJ11" s="17"/>
      <c r="DK11" s="357">
        <f>'측정자 입력파일'!Y41</f>
        <v>1281043104</v>
      </c>
      <c r="DL11" s="358"/>
      <c r="DM11" s="354"/>
      <c r="DN11" s="380"/>
      <c r="DO11" s="8"/>
    </row>
    <row r="12" spans="2:119" ht="13.5" customHeight="1">
      <c r="B12" s="685"/>
      <c r="C12" s="685"/>
      <c r="D12" s="685"/>
      <c r="E12" s="685"/>
      <c r="F12" s="685"/>
      <c r="G12" s="685"/>
      <c r="H12" s="685"/>
      <c r="I12" s="685"/>
      <c r="J12" s="685"/>
      <c r="X12" s="771"/>
      <c r="Y12" s="760"/>
      <c r="Z12" s="761"/>
      <c r="AA12" s="761"/>
      <c r="AB12" s="761"/>
      <c r="AC12" s="761"/>
      <c r="AD12" s="761"/>
      <c r="AE12" s="761"/>
      <c r="AF12" s="761"/>
      <c r="AG12" s="761"/>
      <c r="AH12" s="761"/>
      <c r="AI12" s="761"/>
      <c r="AJ12" s="761"/>
      <c r="AK12" s="761"/>
      <c r="AL12" s="761"/>
      <c r="BH12" s="8"/>
      <c r="CA12" s="8"/>
      <c r="CB12" s="8"/>
      <c r="CC12" s="689"/>
      <c r="CD12" s="690"/>
      <c r="CE12" s="711"/>
      <c r="CF12" s="712"/>
      <c r="CG12" s="343" t="s">
        <v>430</v>
      </c>
      <c r="CH12" s="344"/>
      <c r="CI12" s="344"/>
      <c r="CJ12" s="344"/>
      <c r="CK12" s="344"/>
      <c r="CL12" s="344"/>
      <c r="CM12" s="344"/>
      <c r="CN12" s="344"/>
      <c r="CO12" s="344"/>
      <c r="CP12" s="344"/>
      <c r="CQ12" s="344"/>
      <c r="CR12" s="344"/>
      <c r="CS12" s="345">
        <f>'측정자 입력파일'!Z28</f>
        <v>5</v>
      </c>
      <c r="CT12" s="373"/>
      <c r="CU12" s="8"/>
      <c r="CV12" s="8"/>
      <c r="CW12" s="689"/>
      <c r="CX12" s="690"/>
      <c r="CY12" s="335" t="s">
        <v>123</v>
      </c>
      <c r="CZ12" s="336"/>
      <c r="DA12" s="336"/>
      <c r="DB12" s="336"/>
      <c r="DC12" s="336"/>
      <c r="DD12" s="336"/>
      <c r="DE12" s="336"/>
      <c r="DF12" s="336"/>
      <c r="DG12" s="336"/>
      <c r="DH12" s="336"/>
      <c r="DI12" s="336"/>
      <c r="DJ12" s="336"/>
      <c r="DK12" s="355">
        <f>'측정자 입력파일'!AF97</f>
        <v>1291859616</v>
      </c>
      <c r="DL12" s="355"/>
      <c r="DM12" s="355"/>
      <c r="DN12" s="381"/>
      <c r="DO12" s="8"/>
    </row>
    <row r="13" spans="2:119" ht="13.5" customHeight="1" thickBot="1">
      <c r="B13" s="685"/>
      <c r="C13" s="685"/>
      <c r="D13" s="685"/>
      <c r="E13" s="685"/>
      <c r="F13" s="685"/>
      <c r="G13" s="685"/>
      <c r="H13" s="685"/>
      <c r="I13" s="685"/>
      <c r="J13" s="685"/>
      <c r="X13" s="759" t="s">
        <v>389</v>
      </c>
      <c r="Y13" s="760">
        <f>'측정자 입력파일'!AA15</f>
        <v>14</v>
      </c>
      <c r="Z13" s="761" t="str">
        <f>'측정자 입력파일'!AD15</f>
        <v>취약계층 고용율이 동종업종 대비 낮은편이며, 해당부분을 보완할 수 있도록 기업내부에서 취약계층 고용율 개선을 위해 노력 필요하며, 외부운영의 사회적가치 실현 수준은 매우 우수한 편임.</v>
      </c>
      <c r="AA13" s="761"/>
      <c r="AB13" s="761"/>
      <c r="AC13" s="761"/>
      <c r="AD13" s="761"/>
      <c r="AE13" s="761"/>
      <c r="AF13" s="761"/>
      <c r="AG13" s="761"/>
      <c r="AH13" s="761"/>
      <c r="AI13" s="761"/>
      <c r="AJ13" s="761"/>
      <c r="AK13" s="761"/>
      <c r="AL13" s="761"/>
      <c r="BH13" s="8"/>
      <c r="BI13" s="8"/>
      <c r="BJ13" s="8"/>
      <c r="BK13" s="8"/>
      <c r="BL13" s="8"/>
      <c r="BM13" s="8"/>
      <c r="BN13" s="8"/>
      <c r="BO13" s="8"/>
      <c r="BP13" s="8"/>
      <c r="BQ13" s="8"/>
      <c r="BR13" s="8"/>
      <c r="BS13" s="8"/>
      <c r="BT13" s="8"/>
      <c r="BU13" s="8"/>
      <c r="BV13" s="8"/>
      <c r="BW13" s="8"/>
      <c r="BX13" s="8"/>
      <c r="BY13" s="8"/>
      <c r="BZ13" s="8"/>
      <c r="CA13" s="8"/>
      <c r="CB13" s="8"/>
      <c r="CC13" s="689"/>
      <c r="CD13" s="690"/>
      <c r="CE13" s="29" t="s">
        <v>84</v>
      </c>
      <c r="CF13" s="23"/>
      <c r="CG13" s="13" t="s">
        <v>434</v>
      </c>
      <c r="CH13" s="13"/>
      <c r="CI13" s="13"/>
      <c r="CJ13" s="13"/>
      <c r="CK13" s="13"/>
      <c r="CL13" s="13"/>
      <c r="CM13" s="13"/>
      <c r="CN13" s="13"/>
      <c r="CO13" s="13"/>
      <c r="CP13" s="13"/>
      <c r="CQ13" s="13"/>
      <c r="CR13" s="13"/>
      <c r="CS13" s="328">
        <f>'측정자 입력파일'!Z29</f>
        <v>2</v>
      </c>
      <c r="CT13" s="370"/>
      <c r="CU13" s="8"/>
      <c r="CV13" s="8"/>
      <c r="CW13" s="719"/>
      <c r="CX13" s="720"/>
      <c r="CY13" s="382" t="s">
        <v>125</v>
      </c>
      <c r="CZ13" s="41"/>
      <c r="DA13" s="41"/>
      <c r="DB13" s="41"/>
      <c r="DC13" s="41"/>
      <c r="DD13" s="41"/>
      <c r="DE13" s="41"/>
      <c r="DF13" s="41"/>
      <c r="DG13" s="41"/>
      <c r="DH13" s="41"/>
      <c r="DI13" s="41"/>
      <c r="DJ13" s="41"/>
      <c r="DK13" s="383"/>
      <c r="DL13" s="384">
        <f>'측정자 입력파일'!Y42</f>
        <v>-2.1575739380034788E-2</v>
      </c>
      <c r="DM13" s="383"/>
      <c r="DN13" s="386"/>
      <c r="DO13" s="8"/>
    </row>
    <row r="14" spans="2:119" ht="13.5" customHeight="1" thickBot="1">
      <c r="B14" s="685"/>
      <c r="C14" s="685"/>
      <c r="D14" s="685"/>
      <c r="E14" s="685"/>
      <c r="F14" s="685"/>
      <c r="G14" s="685"/>
      <c r="H14" s="685"/>
      <c r="I14" s="685"/>
      <c r="J14" s="685"/>
      <c r="X14" s="759"/>
      <c r="Y14" s="760"/>
      <c r="Z14" s="761"/>
      <c r="AA14" s="761"/>
      <c r="AB14" s="761"/>
      <c r="AC14" s="761"/>
      <c r="AD14" s="761"/>
      <c r="AE14" s="761"/>
      <c r="AF14" s="761"/>
      <c r="AG14" s="761"/>
      <c r="AH14" s="761"/>
      <c r="AI14" s="761"/>
      <c r="AJ14" s="761"/>
      <c r="AK14" s="761"/>
      <c r="AL14" s="761"/>
      <c r="BH14" s="8"/>
      <c r="BI14" s="687" t="s">
        <v>95</v>
      </c>
      <c r="BJ14" s="688"/>
      <c r="BK14" s="360" t="s">
        <v>96</v>
      </c>
      <c r="BL14" s="361"/>
      <c r="BM14" s="361"/>
      <c r="BN14" s="361"/>
      <c r="BO14" s="361"/>
      <c r="BP14" s="361"/>
      <c r="BQ14" s="361"/>
      <c r="BR14" s="361"/>
      <c r="BS14" s="361"/>
      <c r="BT14" s="361"/>
      <c r="BU14" s="361"/>
      <c r="BV14" s="361"/>
      <c r="BW14" s="361"/>
      <c r="BX14" s="361"/>
      <c r="BY14" s="11">
        <f>'측정자 입력파일'!AA9</f>
        <v>5</v>
      </c>
      <c r="BZ14" s="12"/>
      <c r="CA14" s="8"/>
      <c r="CB14" s="8"/>
      <c r="CC14" s="691" t="s">
        <v>76</v>
      </c>
      <c r="CD14" s="726"/>
      <c r="CE14" s="772"/>
      <c r="CF14" s="772"/>
      <c r="CG14" s="772"/>
      <c r="CH14" s="772"/>
      <c r="CI14" s="772"/>
      <c r="CJ14" s="772"/>
      <c r="CK14" s="772"/>
      <c r="CL14" s="772"/>
      <c r="CM14" s="772"/>
      <c r="CN14" s="772"/>
      <c r="CO14" s="772"/>
      <c r="CP14" s="772"/>
      <c r="CQ14" s="772"/>
      <c r="CR14" s="772"/>
      <c r="CS14" s="772"/>
      <c r="CT14" s="773"/>
      <c r="CU14" s="8"/>
      <c r="CV14" s="8"/>
      <c r="CW14" s="8"/>
      <c r="CX14" s="8"/>
      <c r="CY14" s="8"/>
      <c r="CZ14" s="8"/>
      <c r="DA14" s="8"/>
      <c r="DB14" s="8"/>
      <c r="DC14" s="8"/>
      <c r="DD14" s="8"/>
      <c r="DE14" s="8"/>
      <c r="DF14" s="8"/>
      <c r="DG14" s="8"/>
      <c r="DH14" s="8"/>
      <c r="DI14" s="8"/>
      <c r="DJ14" s="8"/>
      <c r="DK14" s="8"/>
      <c r="DL14" s="8"/>
      <c r="DM14" s="8"/>
      <c r="DN14" s="8"/>
      <c r="DO14" s="8"/>
    </row>
    <row r="15" spans="2:119" ht="13.5" customHeight="1" thickBot="1">
      <c r="B15" s="685"/>
      <c r="C15" s="685"/>
      <c r="D15" s="685"/>
      <c r="E15" s="685"/>
      <c r="F15" s="685"/>
      <c r="G15" s="685"/>
      <c r="H15" s="685"/>
      <c r="I15" s="685"/>
      <c r="J15" s="685"/>
      <c r="X15" s="759"/>
      <c r="Y15" s="760"/>
      <c r="Z15" s="761"/>
      <c r="AA15" s="761"/>
      <c r="AB15" s="761"/>
      <c r="AC15" s="761"/>
      <c r="AD15" s="761"/>
      <c r="AE15" s="761"/>
      <c r="AF15" s="761"/>
      <c r="AG15" s="761"/>
      <c r="AH15" s="761"/>
      <c r="AI15" s="761"/>
      <c r="AJ15" s="761"/>
      <c r="AK15" s="761"/>
      <c r="AL15" s="761"/>
      <c r="BH15" s="8"/>
      <c r="BI15" s="689"/>
      <c r="BJ15" s="690"/>
      <c r="BK15" s="32" t="s">
        <v>100</v>
      </c>
      <c r="BL15" s="14"/>
      <c r="BM15" s="14"/>
      <c r="BN15" s="14"/>
      <c r="BO15" s="14"/>
      <c r="BP15" s="14"/>
      <c r="BQ15" s="14"/>
      <c r="BR15" s="14"/>
      <c r="BS15" s="14"/>
      <c r="BT15" s="14"/>
      <c r="BU15" s="14"/>
      <c r="BV15" s="14"/>
      <c r="BW15" s="14"/>
      <c r="BX15" s="14"/>
      <c r="BY15" s="15" t="str">
        <f>IF('측정자 입력파일'!X9=1,"O","X")</f>
        <v>O</v>
      </c>
      <c r="BZ15" s="362"/>
      <c r="CA15" s="8"/>
      <c r="CB15" s="8"/>
      <c r="CC15" s="693"/>
      <c r="CD15" s="727"/>
      <c r="CE15" s="774"/>
      <c r="CF15" s="774"/>
      <c r="CG15" s="774"/>
      <c r="CH15" s="774"/>
      <c r="CI15" s="774"/>
      <c r="CJ15" s="774"/>
      <c r="CK15" s="774"/>
      <c r="CL15" s="774"/>
      <c r="CM15" s="774"/>
      <c r="CN15" s="774"/>
      <c r="CO15" s="774"/>
      <c r="CP15" s="774"/>
      <c r="CQ15" s="774"/>
      <c r="CR15" s="774"/>
      <c r="CS15" s="774"/>
      <c r="CT15" s="775"/>
      <c r="CU15" s="8"/>
      <c r="CV15" s="8"/>
      <c r="CW15" s="687" t="s">
        <v>127</v>
      </c>
      <c r="CX15" s="688"/>
      <c r="CY15" s="360" t="s">
        <v>128</v>
      </c>
      <c r="CZ15" s="361"/>
      <c r="DA15" s="361"/>
      <c r="DB15" s="361"/>
      <c r="DC15" s="361"/>
      <c r="DD15" s="361"/>
      <c r="DE15" s="361"/>
      <c r="DF15" s="361"/>
      <c r="DG15" s="361"/>
      <c r="DH15" s="361"/>
      <c r="DI15" s="361"/>
      <c r="DJ15" s="361"/>
      <c r="DK15" s="361"/>
      <c r="DL15" s="369"/>
      <c r="DM15" s="11">
        <f>'측정자 입력파일'!AA43</f>
        <v>3.5</v>
      </c>
      <c r="DN15" s="12"/>
      <c r="DO15" s="8"/>
    </row>
    <row r="16" spans="2:119" ht="13.5" customHeight="1">
      <c r="B16" s="685"/>
      <c r="C16" s="685"/>
      <c r="D16" s="685"/>
      <c r="E16" s="685"/>
      <c r="F16" s="685"/>
      <c r="G16" s="685"/>
      <c r="H16" s="685"/>
      <c r="I16" s="685"/>
      <c r="J16" s="685"/>
      <c r="X16" s="759"/>
      <c r="Y16" s="760"/>
      <c r="Z16" s="761"/>
      <c r="AA16" s="761"/>
      <c r="AB16" s="761"/>
      <c r="AC16" s="761"/>
      <c r="AD16" s="761"/>
      <c r="AE16" s="761"/>
      <c r="AF16" s="761"/>
      <c r="AG16" s="761"/>
      <c r="AH16" s="761"/>
      <c r="AI16" s="761"/>
      <c r="AJ16" s="761"/>
      <c r="AK16" s="761"/>
      <c r="AL16" s="761"/>
      <c r="BH16" s="8"/>
      <c r="BI16" s="689"/>
      <c r="BJ16" s="690"/>
      <c r="BK16" s="35" t="s">
        <v>104</v>
      </c>
      <c r="BL16" s="19"/>
      <c r="BM16" s="19"/>
      <c r="BN16" s="19"/>
      <c r="BO16" s="19"/>
      <c r="BP16" s="19"/>
      <c r="BQ16" s="19"/>
      <c r="BR16" s="19"/>
      <c r="BS16" s="19"/>
      <c r="BT16" s="19"/>
      <c r="BU16" s="19"/>
      <c r="BV16" s="19"/>
      <c r="BW16" s="19"/>
      <c r="BX16" s="19"/>
      <c r="BY16" s="20" t="str">
        <f>IF('측정자 입력파일'!X10=1,"O","X")</f>
        <v>O</v>
      </c>
      <c r="BZ16" s="363"/>
      <c r="CA16" s="8"/>
      <c r="CB16" s="8"/>
      <c r="CC16" s="693"/>
      <c r="CD16" s="727"/>
      <c r="CE16" s="774"/>
      <c r="CF16" s="774"/>
      <c r="CG16" s="774"/>
      <c r="CH16" s="774"/>
      <c r="CI16" s="774"/>
      <c r="CJ16" s="774"/>
      <c r="CK16" s="774"/>
      <c r="CL16" s="774"/>
      <c r="CM16" s="774"/>
      <c r="CN16" s="774"/>
      <c r="CO16" s="774"/>
      <c r="CP16" s="774"/>
      <c r="CQ16" s="774"/>
      <c r="CR16" s="774"/>
      <c r="CS16" s="774"/>
      <c r="CT16" s="775"/>
      <c r="CU16" s="8"/>
      <c r="CV16" s="8"/>
      <c r="CW16" s="689"/>
      <c r="CX16" s="690"/>
      <c r="CY16" s="16" t="s">
        <v>439</v>
      </c>
      <c r="CZ16" s="17"/>
      <c r="DA16" s="17"/>
      <c r="DB16" s="17"/>
      <c r="DC16" s="17"/>
      <c r="DD16" s="17"/>
      <c r="DE16" s="17"/>
      <c r="DF16" s="17"/>
      <c r="DG16" s="17"/>
      <c r="DH16" s="17"/>
      <c r="DI16" s="17"/>
      <c r="DJ16" s="17"/>
      <c r="DK16" s="357">
        <f>'측정자 입력파일'!Y43</f>
        <v>-24510416</v>
      </c>
      <c r="DL16" s="358"/>
      <c r="DM16" s="354"/>
      <c r="DN16" s="380"/>
      <c r="DO16" s="8"/>
    </row>
    <row r="17" spans="2:119" ht="13.5" customHeight="1">
      <c r="B17" s="685"/>
      <c r="C17" s="685"/>
      <c r="D17" s="685"/>
      <c r="E17" s="685"/>
      <c r="F17" s="685"/>
      <c r="G17" s="685"/>
      <c r="H17" s="685"/>
      <c r="I17" s="685"/>
      <c r="J17" s="685"/>
      <c r="X17" s="759"/>
      <c r="Y17" s="760"/>
      <c r="Z17" s="761"/>
      <c r="AA17" s="761"/>
      <c r="AB17" s="761"/>
      <c r="AC17" s="761"/>
      <c r="AD17" s="761"/>
      <c r="AE17" s="761"/>
      <c r="AF17" s="761"/>
      <c r="AG17" s="761"/>
      <c r="AH17" s="761"/>
      <c r="AI17" s="761"/>
      <c r="AJ17" s="761"/>
      <c r="AK17" s="761"/>
      <c r="AL17" s="761"/>
      <c r="BH17" s="8"/>
      <c r="BI17" s="689"/>
      <c r="BJ17" s="690"/>
      <c r="BK17" s="35" t="s">
        <v>106</v>
      </c>
      <c r="BL17" s="19"/>
      <c r="BM17" s="19"/>
      <c r="BN17" s="19"/>
      <c r="BO17" s="19"/>
      <c r="BP17" s="19"/>
      <c r="BQ17" s="19"/>
      <c r="BR17" s="19"/>
      <c r="BS17" s="19"/>
      <c r="BT17" s="19"/>
      <c r="BU17" s="19"/>
      <c r="BV17" s="19"/>
      <c r="BW17" s="19"/>
      <c r="BX17" s="19"/>
      <c r="BY17" s="20" t="str">
        <f>IF('측정자 입력파일'!X11=1,"O","X")</f>
        <v>O</v>
      </c>
      <c r="BZ17" s="363"/>
      <c r="CA17" s="8"/>
      <c r="CB17" s="8"/>
      <c r="CC17" s="693"/>
      <c r="CD17" s="727"/>
      <c r="CE17" s="774"/>
      <c r="CF17" s="774"/>
      <c r="CG17" s="774"/>
      <c r="CH17" s="774"/>
      <c r="CI17" s="774"/>
      <c r="CJ17" s="774"/>
      <c r="CK17" s="774"/>
      <c r="CL17" s="774"/>
      <c r="CM17" s="774"/>
      <c r="CN17" s="774"/>
      <c r="CO17" s="774"/>
      <c r="CP17" s="774"/>
      <c r="CQ17" s="774"/>
      <c r="CR17" s="774"/>
      <c r="CS17" s="774"/>
      <c r="CT17" s="775"/>
      <c r="CU17" s="8"/>
      <c r="CV17" s="8"/>
      <c r="CW17" s="689"/>
      <c r="CX17" s="690"/>
      <c r="CY17" s="337" t="s">
        <v>441</v>
      </c>
      <c r="CZ17" s="336"/>
      <c r="DA17" s="336"/>
      <c r="DB17" s="336"/>
      <c r="DC17" s="336"/>
      <c r="DD17" s="336"/>
      <c r="DE17" s="336"/>
      <c r="DF17" s="336"/>
      <c r="DG17" s="336"/>
      <c r="DH17" s="336"/>
      <c r="DI17" s="336"/>
      <c r="DJ17" s="336"/>
      <c r="DK17" s="359">
        <f>'측정자 입력파일'!AH95</f>
        <v>6431554</v>
      </c>
      <c r="DL17" s="355"/>
      <c r="DM17" s="355"/>
      <c r="DN17" s="381"/>
      <c r="DO17" s="8"/>
    </row>
    <row r="18" spans="2:119" ht="13.5" customHeight="1" thickBot="1">
      <c r="B18" s="685"/>
      <c r="C18" s="685"/>
      <c r="D18" s="685"/>
      <c r="E18" s="685"/>
      <c r="F18" s="685"/>
      <c r="G18" s="685"/>
      <c r="H18" s="685"/>
      <c r="I18" s="685"/>
      <c r="J18" s="685"/>
      <c r="X18" s="771" t="s">
        <v>149</v>
      </c>
      <c r="Y18" s="760">
        <f>'측정자 입력파일'!AA22</f>
        <v>5</v>
      </c>
      <c r="Z18" s="761" t="str">
        <f>'측정자 입력파일'!AD22</f>
        <v>사회적경제기업과의 협력 활동이 8건으로, 협력 수준이 높은 편으로 5점을 충족함</v>
      </c>
      <c r="AA18" s="761"/>
      <c r="AB18" s="761"/>
      <c r="AC18" s="761"/>
      <c r="AD18" s="761"/>
      <c r="AE18" s="761"/>
      <c r="AF18" s="761"/>
      <c r="AG18" s="761"/>
      <c r="AH18" s="761"/>
      <c r="AI18" s="761"/>
      <c r="AJ18" s="761"/>
      <c r="AK18" s="761"/>
      <c r="AL18" s="761"/>
      <c r="BH18" s="8"/>
      <c r="BI18" s="689"/>
      <c r="BJ18" s="690"/>
      <c r="BK18" s="35" t="s">
        <v>111</v>
      </c>
      <c r="BL18" s="19"/>
      <c r="BM18" s="19"/>
      <c r="BN18" s="19"/>
      <c r="BO18" s="19"/>
      <c r="BP18" s="19"/>
      <c r="BQ18" s="19"/>
      <c r="BR18" s="19"/>
      <c r="BS18" s="19"/>
      <c r="BT18" s="19"/>
      <c r="BU18" s="19"/>
      <c r="BV18" s="19"/>
      <c r="BW18" s="19"/>
      <c r="BX18" s="19"/>
      <c r="BY18" s="20" t="str">
        <f>IF('측정자 입력파일'!X12=1,"O","X")</f>
        <v>O</v>
      </c>
      <c r="BZ18" s="363"/>
      <c r="CA18" s="8"/>
      <c r="CB18" s="8"/>
      <c r="CC18" s="695"/>
      <c r="CD18" s="728"/>
      <c r="CE18" s="776"/>
      <c r="CF18" s="776"/>
      <c r="CG18" s="776"/>
      <c r="CH18" s="776"/>
      <c r="CI18" s="776"/>
      <c r="CJ18" s="776"/>
      <c r="CK18" s="776"/>
      <c r="CL18" s="776"/>
      <c r="CM18" s="776"/>
      <c r="CN18" s="776"/>
      <c r="CO18" s="776"/>
      <c r="CP18" s="776"/>
      <c r="CQ18" s="776"/>
      <c r="CR18" s="776"/>
      <c r="CS18" s="776"/>
      <c r="CT18" s="777"/>
      <c r="CU18" s="8"/>
      <c r="CV18" s="8"/>
      <c r="CW18" s="719"/>
      <c r="CX18" s="720"/>
      <c r="CY18" s="382" t="s">
        <v>440</v>
      </c>
      <c r="CZ18" s="41"/>
      <c r="DA18" s="41"/>
      <c r="DB18" s="41"/>
      <c r="DC18" s="41"/>
      <c r="DD18" s="41"/>
      <c r="DE18" s="41"/>
      <c r="DF18" s="41"/>
      <c r="DG18" s="41"/>
      <c r="DH18" s="41"/>
      <c r="DI18" s="41"/>
      <c r="DJ18" s="41"/>
      <c r="DK18" s="383"/>
      <c r="DL18" s="384">
        <f>'측정자 입력파일'!Y44</f>
        <v>0.32047872417845652</v>
      </c>
      <c r="DM18" s="383"/>
      <c r="DN18" s="386"/>
      <c r="DO18" s="8"/>
    </row>
    <row r="19" spans="2:119" ht="13.5" customHeight="1" thickBot="1">
      <c r="B19" s="685"/>
      <c r="C19" s="685"/>
      <c r="D19" s="685"/>
      <c r="E19" s="685"/>
      <c r="F19" s="685"/>
      <c r="G19" s="685"/>
      <c r="H19" s="685"/>
      <c r="I19" s="685"/>
      <c r="J19" s="685"/>
      <c r="X19" s="771"/>
      <c r="Y19" s="760"/>
      <c r="Z19" s="761"/>
      <c r="AA19" s="761"/>
      <c r="AB19" s="761"/>
      <c r="AC19" s="761"/>
      <c r="AD19" s="761"/>
      <c r="AE19" s="761"/>
      <c r="AF19" s="761"/>
      <c r="AG19" s="761"/>
      <c r="AH19" s="761"/>
      <c r="AI19" s="761"/>
      <c r="AJ19" s="761"/>
      <c r="AK19" s="761"/>
      <c r="AL19" s="761"/>
      <c r="BH19" s="8"/>
      <c r="BI19" s="689"/>
      <c r="BJ19" s="690"/>
      <c r="BK19" s="33" t="s">
        <v>114</v>
      </c>
      <c r="BL19" s="24"/>
      <c r="BM19" s="24"/>
      <c r="BN19" s="24"/>
      <c r="BO19" s="24"/>
      <c r="BP19" s="24"/>
      <c r="BQ19" s="24"/>
      <c r="BR19" s="24"/>
      <c r="BS19" s="24"/>
      <c r="BT19" s="24"/>
      <c r="BU19" s="24"/>
      <c r="BV19" s="24"/>
      <c r="BW19" s="24"/>
      <c r="BX19" s="24"/>
      <c r="BY19" s="27" t="str">
        <f>IF('측정자 입력파일'!X13=1,"O","X")</f>
        <v>O</v>
      </c>
      <c r="BZ19" s="364"/>
      <c r="CA19" s="8"/>
      <c r="CB19" s="8"/>
      <c r="CU19" s="8"/>
      <c r="CV19" s="8"/>
      <c r="DO19" s="8"/>
    </row>
    <row r="20" spans="2:119" ht="13.5" customHeight="1" thickBot="1">
      <c r="B20" s="685"/>
      <c r="C20" s="685"/>
      <c r="D20" s="685"/>
      <c r="E20" s="685"/>
      <c r="F20" s="685"/>
      <c r="G20" s="685"/>
      <c r="H20" s="685"/>
      <c r="I20" s="685"/>
      <c r="J20" s="685"/>
      <c r="X20" s="771"/>
      <c r="Y20" s="760"/>
      <c r="Z20" s="761"/>
      <c r="AA20" s="761"/>
      <c r="AB20" s="761"/>
      <c r="AC20" s="761"/>
      <c r="AD20" s="761"/>
      <c r="AE20" s="761"/>
      <c r="AF20" s="761"/>
      <c r="AG20" s="761"/>
      <c r="AH20" s="761"/>
      <c r="AI20" s="761"/>
      <c r="AJ20" s="761"/>
      <c r="AK20" s="761"/>
      <c r="AL20" s="761"/>
      <c r="BH20" s="8"/>
      <c r="BI20" s="691" t="s">
        <v>76</v>
      </c>
      <c r="BJ20" s="726"/>
      <c r="BK20" s="772"/>
      <c r="BL20" s="772"/>
      <c r="BM20" s="772"/>
      <c r="BN20" s="772"/>
      <c r="BO20" s="772"/>
      <c r="BP20" s="772"/>
      <c r="BQ20" s="772"/>
      <c r="BR20" s="772"/>
      <c r="BS20" s="772"/>
      <c r="BT20" s="772"/>
      <c r="BU20" s="772"/>
      <c r="BV20" s="772"/>
      <c r="BW20" s="772"/>
      <c r="BX20" s="772"/>
      <c r="BY20" s="772"/>
      <c r="BZ20" s="773"/>
      <c r="CA20" s="8"/>
      <c r="CB20" s="8"/>
      <c r="CU20" s="8"/>
      <c r="CV20" s="8"/>
      <c r="CW20" s="687" t="s">
        <v>129</v>
      </c>
      <c r="CX20" s="688"/>
      <c r="CY20" s="360" t="s">
        <v>130</v>
      </c>
      <c r="CZ20" s="361"/>
      <c r="DA20" s="361"/>
      <c r="DB20" s="361"/>
      <c r="DC20" s="361"/>
      <c r="DD20" s="361"/>
      <c r="DE20" s="361"/>
      <c r="DF20" s="361"/>
      <c r="DG20" s="361"/>
      <c r="DH20" s="361"/>
      <c r="DI20" s="361"/>
      <c r="DJ20" s="361"/>
      <c r="DK20" s="361"/>
      <c r="DL20" s="369"/>
      <c r="DM20" s="11">
        <f>'측정자 입력파일'!AA45</f>
        <v>3.5</v>
      </c>
      <c r="DN20" s="12"/>
      <c r="DO20" s="8"/>
    </row>
    <row r="21" spans="2:119" ht="13.5" customHeight="1" thickBot="1">
      <c r="B21" s="685"/>
      <c r="C21" s="685"/>
      <c r="D21" s="685"/>
      <c r="E21" s="685"/>
      <c r="F21" s="685"/>
      <c r="G21" s="685"/>
      <c r="H21" s="685"/>
      <c r="I21" s="685"/>
      <c r="J21" s="685"/>
      <c r="X21" s="771" t="s">
        <v>150</v>
      </c>
      <c r="Y21" s="760">
        <f>'측정자 입력파일'!AA23</f>
        <v>5</v>
      </c>
      <c r="Z21" s="761" t="str">
        <f>'측정자 입력파일'!AD23</f>
        <v>지역사회 내 11개 기관과 협력활동을 진행한 점이 인정되어 5점을 충족함</v>
      </c>
      <c r="AA21" s="761"/>
      <c r="AB21" s="761"/>
      <c r="AC21" s="761"/>
      <c r="AD21" s="761"/>
      <c r="AE21" s="761"/>
      <c r="AF21" s="761"/>
      <c r="AG21" s="761"/>
      <c r="AH21" s="761"/>
      <c r="AI21" s="761"/>
      <c r="AJ21" s="761"/>
      <c r="AK21" s="761"/>
      <c r="AL21" s="761"/>
      <c r="BH21" s="8"/>
      <c r="BI21" s="693"/>
      <c r="BJ21" s="727"/>
      <c r="BK21" s="774"/>
      <c r="BL21" s="774"/>
      <c r="BM21" s="774"/>
      <c r="BN21" s="774"/>
      <c r="BO21" s="774"/>
      <c r="BP21" s="774"/>
      <c r="BQ21" s="774"/>
      <c r="BR21" s="774"/>
      <c r="BS21" s="774"/>
      <c r="BT21" s="774"/>
      <c r="BU21" s="774"/>
      <c r="BV21" s="774"/>
      <c r="BW21" s="774"/>
      <c r="BX21" s="774"/>
      <c r="BY21" s="774"/>
      <c r="BZ21" s="775"/>
      <c r="CA21" s="8"/>
      <c r="CB21" s="8"/>
      <c r="CC21" s="687" t="s">
        <v>107</v>
      </c>
      <c r="CD21" s="688"/>
      <c r="CE21" s="360" t="s">
        <v>108</v>
      </c>
      <c r="CF21" s="361"/>
      <c r="CG21" s="361"/>
      <c r="CH21" s="361"/>
      <c r="CI21" s="361"/>
      <c r="CJ21" s="361"/>
      <c r="CK21" s="361"/>
      <c r="CL21" s="361"/>
      <c r="CM21" s="361"/>
      <c r="CN21" s="361"/>
      <c r="CO21" s="361"/>
      <c r="CP21" s="361"/>
      <c r="CQ21" s="361"/>
      <c r="CR21" s="361"/>
      <c r="CS21" s="11">
        <f>'측정자 입력파일'!AA31</f>
        <v>5</v>
      </c>
      <c r="CT21" s="12"/>
      <c r="CU21" s="8"/>
      <c r="CV21" s="8"/>
      <c r="CW21" s="689"/>
      <c r="CX21" s="690"/>
      <c r="CY21" s="16" t="s">
        <v>442</v>
      </c>
      <c r="CZ21" s="17"/>
      <c r="DA21" s="17"/>
      <c r="DB21" s="17"/>
      <c r="DC21" s="17"/>
      <c r="DD21" s="17"/>
      <c r="DE21" s="17"/>
      <c r="DF21" s="17"/>
      <c r="DG21" s="17"/>
      <c r="DH21" s="17"/>
      <c r="DI21" s="17"/>
      <c r="DJ21" s="17"/>
      <c r="DK21" s="357">
        <f>'측정자 입력파일'!Y45</f>
        <v>356142.09174311929</v>
      </c>
      <c r="DL21" s="358"/>
      <c r="DM21" s="354"/>
      <c r="DN21" s="380"/>
      <c r="DO21" s="8"/>
    </row>
    <row r="22" spans="2:119" ht="13.5" customHeight="1">
      <c r="B22" s="685"/>
      <c r="C22" s="685"/>
      <c r="D22" s="685"/>
      <c r="E22" s="685"/>
      <c r="F22" s="685"/>
      <c r="G22" s="685"/>
      <c r="H22" s="685"/>
      <c r="I22" s="685"/>
      <c r="J22" s="685"/>
      <c r="X22" s="771"/>
      <c r="Y22" s="760"/>
      <c r="Z22" s="761"/>
      <c r="AA22" s="761"/>
      <c r="AB22" s="761"/>
      <c r="AC22" s="761"/>
      <c r="AD22" s="761"/>
      <c r="AE22" s="761"/>
      <c r="AF22" s="761"/>
      <c r="AG22" s="761"/>
      <c r="AH22" s="761"/>
      <c r="AI22" s="761"/>
      <c r="AJ22" s="761"/>
      <c r="AK22" s="761"/>
      <c r="AL22" s="761"/>
      <c r="BH22" s="8"/>
      <c r="BI22" s="693"/>
      <c r="BJ22" s="727"/>
      <c r="BK22" s="774"/>
      <c r="BL22" s="774"/>
      <c r="BM22" s="774"/>
      <c r="BN22" s="774"/>
      <c r="BO22" s="774"/>
      <c r="BP22" s="774"/>
      <c r="BQ22" s="774"/>
      <c r="BR22" s="774"/>
      <c r="BS22" s="774"/>
      <c r="BT22" s="774"/>
      <c r="BU22" s="774"/>
      <c r="BV22" s="774"/>
      <c r="BW22" s="774"/>
      <c r="BX22" s="774"/>
      <c r="BY22" s="774"/>
      <c r="BZ22" s="775"/>
      <c r="CA22" s="8"/>
      <c r="CB22" s="8"/>
      <c r="CC22" s="689"/>
      <c r="CD22" s="690"/>
      <c r="CE22" s="36" t="s">
        <v>112</v>
      </c>
      <c r="CF22" s="37"/>
      <c r="CG22" s="37"/>
      <c r="CH22" s="37"/>
      <c r="CI22" s="37"/>
      <c r="CJ22" s="37"/>
      <c r="CK22" s="37"/>
      <c r="CL22" s="37"/>
      <c r="CM22" s="37"/>
      <c r="CN22" s="37"/>
      <c r="CO22" s="37"/>
      <c r="CP22" s="37"/>
      <c r="CQ22" s="37"/>
      <c r="CR22" s="37"/>
      <c r="CS22" s="38">
        <f>'측정자 입력파일'!Y31</f>
        <v>0.6428571428571429</v>
      </c>
      <c r="CT22" s="374"/>
      <c r="CU22" s="8"/>
      <c r="CV22" s="8"/>
      <c r="CW22" s="689"/>
      <c r="CX22" s="690"/>
      <c r="CY22" s="337" t="s">
        <v>443</v>
      </c>
      <c r="CZ22" s="336"/>
      <c r="DA22" s="336"/>
      <c r="DB22" s="336"/>
      <c r="DC22" s="336"/>
      <c r="DD22" s="336"/>
      <c r="DE22" s="336"/>
      <c r="DF22" s="336"/>
      <c r="DG22" s="336"/>
      <c r="DH22" s="336"/>
      <c r="DI22" s="336"/>
      <c r="DJ22" s="336"/>
      <c r="DK22" s="359">
        <f>'측정자 입력파일'!AJ95</f>
        <v>418524</v>
      </c>
      <c r="DL22" s="355"/>
      <c r="DM22" s="355"/>
      <c r="DN22" s="381"/>
      <c r="DO22" s="8"/>
    </row>
    <row r="23" spans="2:119" ht="13.5" customHeight="1" thickBot="1">
      <c r="B23" s="685"/>
      <c r="C23" s="685"/>
      <c r="D23" s="685"/>
      <c r="E23" s="685"/>
      <c r="F23" s="685"/>
      <c r="G23" s="685"/>
      <c r="H23" s="685"/>
      <c r="I23" s="685"/>
      <c r="J23" s="685"/>
      <c r="X23" s="771"/>
      <c r="Y23" s="760"/>
      <c r="Z23" s="761"/>
      <c r="AA23" s="761"/>
      <c r="AB23" s="761"/>
      <c r="AC23" s="761"/>
      <c r="AD23" s="761"/>
      <c r="AE23" s="761"/>
      <c r="AF23" s="761"/>
      <c r="AG23" s="761"/>
      <c r="AH23" s="761"/>
      <c r="AI23" s="761"/>
      <c r="AJ23" s="761"/>
      <c r="AK23" s="761"/>
      <c r="AL23" s="761"/>
      <c r="AO23" s="301"/>
      <c r="AP23" s="301"/>
      <c r="AQ23" s="301"/>
      <c r="AR23" s="301"/>
      <c r="AS23" s="301"/>
      <c r="AT23" s="301"/>
      <c r="AU23" s="301"/>
      <c r="AV23" s="301"/>
      <c r="AW23" s="301"/>
      <c r="AX23" s="301"/>
      <c r="AY23" s="301"/>
      <c r="AZ23" s="301"/>
      <c r="BA23" s="301"/>
      <c r="BB23" s="301"/>
      <c r="BC23" s="301"/>
      <c r="BD23" s="301"/>
      <c r="BE23" s="301"/>
      <c r="BF23" s="301"/>
      <c r="BH23" s="8"/>
      <c r="BI23" s="693"/>
      <c r="BJ23" s="727"/>
      <c r="BK23" s="774"/>
      <c r="BL23" s="774"/>
      <c r="BM23" s="774"/>
      <c r="BN23" s="774"/>
      <c r="BO23" s="774"/>
      <c r="BP23" s="774"/>
      <c r="BQ23" s="774"/>
      <c r="BR23" s="774"/>
      <c r="BS23" s="774"/>
      <c r="BT23" s="774"/>
      <c r="BU23" s="774"/>
      <c r="BV23" s="774"/>
      <c r="BW23" s="774"/>
      <c r="BX23" s="774"/>
      <c r="BY23" s="774"/>
      <c r="BZ23" s="775"/>
      <c r="CA23" s="8"/>
      <c r="CB23" s="8"/>
      <c r="CC23" s="689"/>
      <c r="CD23" s="690"/>
      <c r="CE23" s="39" t="s">
        <v>115</v>
      </c>
      <c r="CF23" s="13"/>
      <c r="CG23" s="13"/>
      <c r="CH23" s="13"/>
      <c r="CI23" s="13"/>
      <c r="CJ23" s="13"/>
      <c r="CK23" s="13"/>
      <c r="CL23" s="13"/>
      <c r="CM23" s="13"/>
      <c r="CN23" s="13"/>
      <c r="CO23" s="13"/>
      <c r="CP23" s="13"/>
      <c r="CQ23" s="13"/>
      <c r="CR23" s="13"/>
      <c r="CS23" s="40">
        <f>'측정자 입력파일'!Y32</f>
        <v>1</v>
      </c>
      <c r="CT23" s="375"/>
      <c r="CU23" s="8"/>
      <c r="CV23" s="8"/>
      <c r="CW23" s="719"/>
      <c r="CX23" s="720"/>
      <c r="CY23" s="382" t="s">
        <v>444</v>
      </c>
      <c r="CZ23" s="41"/>
      <c r="DA23" s="41"/>
      <c r="DB23" s="41"/>
      <c r="DC23" s="41"/>
      <c r="DD23" s="41"/>
      <c r="DE23" s="41"/>
      <c r="DF23" s="41"/>
      <c r="DG23" s="41"/>
      <c r="DH23" s="41"/>
      <c r="DI23" s="41"/>
      <c r="DJ23" s="41"/>
      <c r="DK23" s="383"/>
      <c r="DL23" s="384">
        <f>'측정자 입력파일'!Y46</f>
        <v>-5.4217082519983584E-2</v>
      </c>
      <c r="DM23" s="383"/>
      <c r="DN23" s="386"/>
    </row>
    <row r="24" spans="2:119" ht="13.5" customHeight="1" thickBot="1">
      <c r="B24" s="685"/>
      <c r="C24" s="685"/>
      <c r="D24" s="685"/>
      <c r="E24" s="685"/>
      <c r="F24" s="685"/>
      <c r="G24" s="685"/>
      <c r="H24" s="685"/>
      <c r="I24" s="685"/>
      <c r="J24" s="685"/>
      <c r="X24" s="771" t="s">
        <v>151</v>
      </c>
      <c r="Y24" s="760">
        <f>'측정자 입력파일'!AA25</f>
        <v>10</v>
      </c>
      <c r="Z24" s="761" t="str">
        <f>'측정자 입력파일'!AD25</f>
        <v>기업 내외부 운영에 대한 사회적 환원 내용은 전반적으로 우수하며 현행을 잘 유지할 수 있도록 관리 요함</v>
      </c>
      <c r="AA24" s="761"/>
      <c r="AB24" s="761"/>
      <c r="AC24" s="761"/>
      <c r="AD24" s="761"/>
      <c r="AE24" s="761"/>
      <c r="AF24" s="761"/>
      <c r="AG24" s="761"/>
      <c r="AH24" s="761"/>
      <c r="AI24" s="761"/>
      <c r="AJ24" s="761"/>
      <c r="AK24" s="761"/>
      <c r="AL24" s="761"/>
      <c r="AO24" s="301"/>
      <c r="AP24" s="301"/>
      <c r="AQ24" s="301"/>
      <c r="AR24" s="301"/>
      <c r="AS24" s="301"/>
      <c r="AT24" s="301"/>
      <c r="AU24" s="301"/>
      <c r="AV24" s="301"/>
      <c r="AW24" s="301"/>
      <c r="AX24" s="301"/>
      <c r="AY24" s="301"/>
      <c r="AZ24" s="301"/>
      <c r="BA24" s="301"/>
      <c r="BB24" s="301"/>
      <c r="BC24" s="301"/>
      <c r="BD24" s="301"/>
      <c r="BE24" s="301"/>
      <c r="BF24" s="301"/>
      <c r="BH24" s="8"/>
      <c r="BI24" s="695"/>
      <c r="BJ24" s="728"/>
      <c r="BK24" s="776"/>
      <c r="BL24" s="776"/>
      <c r="BM24" s="776"/>
      <c r="BN24" s="776"/>
      <c r="BO24" s="776"/>
      <c r="BP24" s="776"/>
      <c r="BQ24" s="776"/>
      <c r="BR24" s="776"/>
      <c r="BS24" s="776"/>
      <c r="BT24" s="776"/>
      <c r="BU24" s="776"/>
      <c r="BV24" s="776"/>
      <c r="BW24" s="776"/>
      <c r="BX24" s="776"/>
      <c r="BY24" s="776"/>
      <c r="BZ24" s="777"/>
      <c r="CA24" s="8"/>
      <c r="CB24" s="8"/>
      <c r="CC24" s="691" t="s">
        <v>76</v>
      </c>
      <c r="CD24" s="726"/>
      <c r="CE24" s="772"/>
      <c r="CF24" s="772"/>
      <c r="CG24" s="772"/>
      <c r="CH24" s="772"/>
      <c r="CI24" s="772"/>
      <c r="CJ24" s="772"/>
      <c r="CK24" s="772"/>
      <c r="CL24" s="772"/>
      <c r="CM24" s="772"/>
      <c r="CN24" s="772"/>
      <c r="CO24" s="772"/>
      <c r="CP24" s="772"/>
      <c r="CQ24" s="772"/>
      <c r="CR24" s="772"/>
      <c r="CS24" s="772"/>
      <c r="CT24" s="773"/>
      <c r="CU24" s="8"/>
      <c r="CV24" s="8"/>
      <c r="DO24" s="8"/>
    </row>
    <row r="25" spans="2:119" ht="13.5" customHeight="1">
      <c r="B25" s="685"/>
      <c r="C25" s="685"/>
      <c r="D25" s="685"/>
      <c r="E25" s="685"/>
      <c r="F25" s="685"/>
      <c r="G25" s="685"/>
      <c r="H25" s="685"/>
      <c r="I25" s="685"/>
      <c r="J25" s="685"/>
      <c r="X25" s="771"/>
      <c r="Y25" s="760"/>
      <c r="Z25" s="761"/>
      <c r="AA25" s="761"/>
      <c r="AB25" s="761"/>
      <c r="AC25" s="761"/>
      <c r="AD25" s="761"/>
      <c r="AE25" s="761"/>
      <c r="AF25" s="761"/>
      <c r="AG25" s="761"/>
      <c r="AH25" s="761"/>
      <c r="AI25" s="761"/>
      <c r="AJ25" s="761"/>
      <c r="AK25" s="761"/>
      <c r="AL25" s="761"/>
      <c r="AO25" s="301"/>
      <c r="AP25" s="301"/>
      <c r="AQ25" s="301"/>
      <c r="AR25" s="301"/>
      <c r="AS25" s="301"/>
      <c r="AT25" s="301"/>
      <c r="AU25" s="301"/>
      <c r="AV25" s="301"/>
      <c r="AW25" s="301"/>
      <c r="AX25" s="301"/>
      <c r="AY25" s="301"/>
      <c r="AZ25" s="301"/>
      <c r="BA25" s="301"/>
      <c r="BB25" s="301"/>
      <c r="BC25" s="301"/>
      <c r="BD25" s="301"/>
      <c r="BE25" s="301"/>
      <c r="BF25" s="301"/>
      <c r="BH25" s="8"/>
      <c r="CA25" s="8"/>
      <c r="CB25" s="8"/>
      <c r="CC25" s="693"/>
      <c r="CD25" s="727"/>
      <c r="CE25" s="774"/>
      <c r="CF25" s="774"/>
      <c r="CG25" s="774"/>
      <c r="CH25" s="774"/>
      <c r="CI25" s="774"/>
      <c r="CJ25" s="774"/>
      <c r="CK25" s="774"/>
      <c r="CL25" s="774"/>
      <c r="CM25" s="774"/>
      <c r="CN25" s="774"/>
      <c r="CO25" s="774"/>
      <c r="CP25" s="774"/>
      <c r="CQ25" s="774"/>
      <c r="CR25" s="774"/>
      <c r="CS25" s="774"/>
      <c r="CT25" s="775"/>
      <c r="CU25" s="8"/>
      <c r="CV25" s="8"/>
      <c r="DO25" s="8"/>
    </row>
    <row r="26" spans="2:119" ht="13.5" customHeight="1" thickBot="1">
      <c r="B26" s="685"/>
      <c r="C26" s="685"/>
      <c r="D26" s="685"/>
      <c r="E26" s="685"/>
      <c r="F26" s="685"/>
      <c r="G26" s="685"/>
      <c r="H26" s="685"/>
      <c r="I26" s="685"/>
      <c r="J26" s="685"/>
      <c r="X26" s="771"/>
      <c r="Y26" s="760"/>
      <c r="Z26" s="761"/>
      <c r="AA26" s="761"/>
      <c r="AB26" s="761"/>
      <c r="AC26" s="761"/>
      <c r="AD26" s="761"/>
      <c r="AE26" s="761"/>
      <c r="AF26" s="761"/>
      <c r="AG26" s="761"/>
      <c r="AH26" s="761"/>
      <c r="AI26" s="761"/>
      <c r="AJ26" s="761"/>
      <c r="AK26" s="761"/>
      <c r="AL26" s="761"/>
      <c r="AO26" s="301"/>
      <c r="AP26" s="301"/>
      <c r="AQ26" s="301"/>
      <c r="AR26" s="301"/>
      <c r="AS26" s="301"/>
      <c r="AT26" s="301"/>
      <c r="AU26" s="301"/>
      <c r="AV26" s="301"/>
      <c r="AW26" s="301"/>
      <c r="AX26" s="301"/>
      <c r="AY26" s="301"/>
      <c r="AZ26" s="301"/>
      <c r="BA26" s="301"/>
      <c r="BB26" s="301"/>
      <c r="BC26" s="301"/>
      <c r="BD26" s="301"/>
      <c r="BE26" s="301"/>
      <c r="BF26" s="301"/>
      <c r="BH26" s="8"/>
      <c r="CA26" s="8"/>
      <c r="CB26" s="8"/>
      <c r="CC26" s="693"/>
      <c r="CD26" s="727"/>
      <c r="CE26" s="774"/>
      <c r="CF26" s="774"/>
      <c r="CG26" s="774"/>
      <c r="CH26" s="774"/>
      <c r="CI26" s="774"/>
      <c r="CJ26" s="774"/>
      <c r="CK26" s="774"/>
      <c r="CL26" s="774"/>
      <c r="CM26" s="774"/>
      <c r="CN26" s="774"/>
      <c r="CO26" s="774"/>
      <c r="CP26" s="774"/>
      <c r="CQ26" s="774"/>
      <c r="CR26" s="774"/>
      <c r="CS26" s="774"/>
      <c r="CT26" s="775"/>
      <c r="CU26" s="8"/>
      <c r="CV26" s="8"/>
      <c r="DO26" s="8"/>
    </row>
    <row r="27" spans="2:119" ht="13.5" customHeight="1" thickBot="1">
      <c r="B27" s="686" t="s">
        <v>407</v>
      </c>
      <c r="C27" s="686"/>
      <c r="D27" s="686"/>
      <c r="E27" s="686"/>
      <c r="F27" s="686"/>
      <c r="G27" s="686"/>
      <c r="H27" s="686"/>
      <c r="I27" s="686"/>
      <c r="J27" s="686"/>
      <c r="X27" s="771" t="s">
        <v>153</v>
      </c>
      <c r="Y27" s="760">
        <f>'측정자 입력파일'!AA31</f>
        <v>5</v>
      </c>
      <c r="Z27" s="761" t="str">
        <f>'측정자 입력파일'!AD31</f>
        <v>민주적인 의사결정구조를 잘 갖추고 있으며 현행을 유지할 수 있도록 노력 요함</v>
      </c>
      <c r="AA27" s="761"/>
      <c r="AB27" s="761"/>
      <c r="AC27" s="761"/>
      <c r="AD27" s="761"/>
      <c r="AE27" s="761"/>
      <c r="AF27" s="761"/>
      <c r="AG27" s="761"/>
      <c r="AH27" s="761"/>
      <c r="AI27" s="761"/>
      <c r="AJ27" s="761"/>
      <c r="AK27" s="761"/>
      <c r="AL27" s="761"/>
      <c r="AO27" s="301"/>
      <c r="AP27" s="301"/>
      <c r="AQ27" s="301"/>
      <c r="AR27" s="301"/>
      <c r="AS27" s="301"/>
      <c r="AT27" s="301"/>
      <c r="AU27" s="301"/>
      <c r="AV27" s="301"/>
      <c r="AW27" s="301"/>
      <c r="AX27" s="301"/>
      <c r="AY27" s="301"/>
      <c r="AZ27" s="301"/>
      <c r="BA27" s="301"/>
      <c r="BB27" s="301"/>
      <c r="BC27" s="301"/>
      <c r="BD27" s="301"/>
      <c r="BE27" s="301"/>
      <c r="BF27" s="301"/>
      <c r="BH27" s="8"/>
      <c r="BI27" s="687" t="s">
        <v>52</v>
      </c>
      <c r="BJ27" s="688"/>
      <c r="BK27" s="360" t="s">
        <v>53</v>
      </c>
      <c r="BL27" s="361"/>
      <c r="BM27" s="361"/>
      <c r="BN27" s="361"/>
      <c r="BO27" s="361"/>
      <c r="BP27" s="361"/>
      <c r="BQ27" s="361"/>
      <c r="BR27" s="361"/>
      <c r="BS27" s="361"/>
      <c r="BT27" s="361"/>
      <c r="BU27" s="361"/>
      <c r="BV27" s="361"/>
      <c r="BW27" s="361"/>
      <c r="BX27" s="361"/>
      <c r="BY27" s="11">
        <f>'측정자 입력파일'!AA15</f>
        <v>14</v>
      </c>
      <c r="BZ27" s="12"/>
      <c r="CA27" s="8"/>
      <c r="CB27" s="8"/>
      <c r="CC27" s="693"/>
      <c r="CD27" s="727"/>
      <c r="CE27" s="774"/>
      <c r="CF27" s="774"/>
      <c r="CG27" s="774"/>
      <c r="CH27" s="774"/>
      <c r="CI27" s="774"/>
      <c r="CJ27" s="774"/>
      <c r="CK27" s="774"/>
      <c r="CL27" s="774"/>
      <c r="CM27" s="774"/>
      <c r="CN27" s="774"/>
      <c r="CO27" s="774"/>
      <c r="CP27" s="774"/>
      <c r="CQ27" s="774"/>
      <c r="CR27" s="774"/>
      <c r="CS27" s="774"/>
      <c r="CT27" s="775"/>
      <c r="CU27" s="8"/>
      <c r="CV27" s="8"/>
      <c r="DO27" s="8"/>
    </row>
    <row r="28" spans="2:119" ht="13.5" customHeight="1" thickBot="1">
      <c r="B28" s="686"/>
      <c r="C28" s="686"/>
      <c r="D28" s="686"/>
      <c r="E28" s="686"/>
      <c r="F28" s="686"/>
      <c r="G28" s="686"/>
      <c r="H28" s="686"/>
      <c r="I28" s="686"/>
      <c r="J28" s="686"/>
      <c r="X28" s="771"/>
      <c r="Y28" s="760"/>
      <c r="Z28" s="761"/>
      <c r="AA28" s="761"/>
      <c r="AB28" s="761"/>
      <c r="AC28" s="761"/>
      <c r="AD28" s="761"/>
      <c r="AE28" s="761"/>
      <c r="AF28" s="761"/>
      <c r="AG28" s="761"/>
      <c r="AH28" s="761"/>
      <c r="AI28" s="761"/>
      <c r="AJ28" s="761"/>
      <c r="AK28" s="761"/>
      <c r="AL28" s="761"/>
      <c r="AO28" s="301"/>
      <c r="AP28" s="301"/>
      <c r="AQ28" s="301"/>
      <c r="AR28" s="301"/>
      <c r="AS28" s="301"/>
      <c r="AT28" s="301"/>
      <c r="AU28" s="301"/>
      <c r="AV28" s="301"/>
      <c r="AW28" s="301"/>
      <c r="AX28" s="301"/>
      <c r="AY28" s="301"/>
      <c r="AZ28" s="301"/>
      <c r="BA28" s="301"/>
      <c r="BB28" s="301"/>
      <c r="BC28" s="301"/>
      <c r="BD28" s="301"/>
      <c r="BE28" s="301"/>
      <c r="BF28" s="301"/>
      <c r="BH28" s="8"/>
      <c r="BI28" s="689"/>
      <c r="BJ28" s="690"/>
      <c r="BK28" s="707" t="s">
        <v>63</v>
      </c>
      <c r="BL28" s="721"/>
      <c r="BM28" s="14" t="s">
        <v>64</v>
      </c>
      <c r="BN28" s="14"/>
      <c r="BO28" s="14"/>
      <c r="BP28" s="14"/>
      <c r="BQ28" s="14"/>
      <c r="BR28" s="14"/>
      <c r="BS28" s="14"/>
      <c r="BT28" s="14"/>
      <c r="BU28" s="14"/>
      <c r="BV28" s="14"/>
      <c r="BW28" s="14"/>
      <c r="BX28" s="14"/>
      <c r="BY28" s="18">
        <f>IF('측정자 입력파일'!D22="O",SUM('측정자 입력파일'!Z15:Z16),'측정자 입력파일'!Z17)</f>
        <v>1</v>
      </c>
      <c r="BZ28" s="365"/>
      <c r="CA28" s="8"/>
      <c r="CB28" s="8"/>
      <c r="CC28" s="695"/>
      <c r="CD28" s="728"/>
      <c r="CE28" s="776"/>
      <c r="CF28" s="776"/>
      <c r="CG28" s="776"/>
      <c r="CH28" s="776"/>
      <c r="CI28" s="776"/>
      <c r="CJ28" s="776"/>
      <c r="CK28" s="776"/>
      <c r="CL28" s="776"/>
      <c r="CM28" s="776"/>
      <c r="CN28" s="776"/>
      <c r="CO28" s="776"/>
      <c r="CP28" s="776"/>
      <c r="CQ28" s="776"/>
      <c r="CR28" s="776"/>
      <c r="CS28" s="776"/>
      <c r="CT28" s="777"/>
      <c r="CU28" s="8"/>
      <c r="CV28" s="8"/>
      <c r="CW28" s="687" t="s">
        <v>59</v>
      </c>
      <c r="CX28" s="688"/>
      <c r="CY28" s="360" t="s">
        <v>60</v>
      </c>
      <c r="CZ28" s="361"/>
      <c r="DA28" s="361"/>
      <c r="DB28" s="361"/>
      <c r="DC28" s="361"/>
      <c r="DD28" s="361"/>
      <c r="DE28" s="361"/>
      <c r="DF28" s="361"/>
      <c r="DG28" s="361"/>
      <c r="DH28" s="361"/>
      <c r="DI28" s="361"/>
      <c r="DJ28" s="361"/>
      <c r="DK28" s="361"/>
      <c r="DL28" s="361"/>
      <c r="DM28" s="11">
        <f>'측정자 입력파일'!AA48</f>
        <v>10</v>
      </c>
      <c r="DN28" s="12"/>
      <c r="DO28" s="8"/>
    </row>
    <row r="29" spans="2:119" ht="13.5" customHeight="1">
      <c r="B29" s="686"/>
      <c r="C29" s="686"/>
      <c r="D29" s="686"/>
      <c r="E29" s="686"/>
      <c r="F29" s="686"/>
      <c r="G29" s="686"/>
      <c r="H29" s="686"/>
      <c r="I29" s="686"/>
      <c r="J29" s="686"/>
      <c r="X29" s="771"/>
      <c r="Y29" s="760"/>
      <c r="Z29" s="761"/>
      <c r="AA29" s="761"/>
      <c r="AB29" s="761"/>
      <c r="AC29" s="761"/>
      <c r="AD29" s="761"/>
      <c r="AE29" s="761"/>
      <c r="AF29" s="761"/>
      <c r="AG29" s="761"/>
      <c r="AH29" s="761"/>
      <c r="AI29" s="761"/>
      <c r="AJ29" s="761"/>
      <c r="AK29" s="761"/>
      <c r="AL29" s="761"/>
      <c r="AO29" s="301"/>
      <c r="AP29" s="301"/>
      <c r="AQ29" s="301"/>
      <c r="AR29" s="301"/>
      <c r="AS29" s="301"/>
      <c r="AT29" s="301"/>
      <c r="AU29" s="301"/>
      <c r="AV29" s="301"/>
      <c r="AW29" s="301"/>
      <c r="AX29" s="301"/>
      <c r="AY29" s="301"/>
      <c r="AZ29" s="301"/>
      <c r="BA29" s="301"/>
      <c r="BB29" s="301"/>
      <c r="BC29" s="301"/>
      <c r="BD29" s="301"/>
      <c r="BE29" s="301"/>
      <c r="BF29" s="301"/>
      <c r="BH29" s="8"/>
      <c r="BI29" s="689"/>
      <c r="BJ29" s="690"/>
      <c r="BK29" s="709"/>
      <c r="BL29" s="722"/>
      <c r="BM29" s="19" t="s">
        <v>70</v>
      </c>
      <c r="BN29" s="19"/>
      <c r="BO29" s="19"/>
      <c r="BP29" s="19"/>
      <c r="BQ29" s="19"/>
      <c r="BR29" s="19"/>
      <c r="BS29" s="19"/>
      <c r="BT29" s="19"/>
      <c r="BU29" s="19"/>
      <c r="BV29" s="19"/>
      <c r="BW29" s="19"/>
      <c r="BX29" s="19"/>
      <c r="BY29" s="28">
        <f>'측정자 입력파일'!Z18</f>
        <v>1</v>
      </c>
      <c r="BZ29" s="366"/>
      <c r="CA29" s="8"/>
      <c r="CB29" s="8"/>
      <c r="CU29" s="8"/>
      <c r="CV29" s="8"/>
      <c r="CW29" s="689"/>
      <c r="CX29" s="690"/>
      <c r="CY29" s="14" t="s">
        <v>67</v>
      </c>
      <c r="CZ29" s="14"/>
      <c r="DA29" s="14"/>
      <c r="DB29" s="14"/>
      <c r="DC29" s="14"/>
      <c r="DD29" s="14"/>
      <c r="DE29" s="14"/>
      <c r="DF29" s="14"/>
      <c r="DG29" s="14"/>
      <c r="DH29" s="14"/>
      <c r="DI29" s="14"/>
      <c r="DJ29" s="14"/>
      <c r="DK29" s="14"/>
      <c r="DL29" s="14"/>
      <c r="DM29" s="18">
        <f>'측정자 입력파일'!X48</f>
        <v>5</v>
      </c>
      <c r="DN29" s="362"/>
      <c r="DO29" s="8"/>
    </row>
    <row r="30" spans="2:119" ht="13.5" customHeight="1" thickBot="1">
      <c r="B30" s="686"/>
      <c r="C30" s="686"/>
      <c r="D30" s="686"/>
      <c r="E30" s="686"/>
      <c r="F30" s="686"/>
      <c r="G30" s="686"/>
      <c r="H30" s="686"/>
      <c r="I30" s="686"/>
      <c r="J30" s="686"/>
      <c r="X30" s="771" t="s">
        <v>154</v>
      </c>
      <c r="Y30" s="760">
        <f>'측정자 입력파일'!AA34</f>
        <v>8</v>
      </c>
      <c r="Z30" s="761" t="str">
        <f>'측정자 입력파일'!AD34</f>
        <v>근로자 평균 시급은 17,536원으로 (8점 만점을 충족함. 근로자 처우 개선에 대한 기업의 노력을 확인할 수 있음</v>
      </c>
      <c r="AA30" s="761"/>
      <c r="AB30" s="761"/>
      <c r="AC30" s="761"/>
      <c r="AD30" s="761"/>
      <c r="AE30" s="761"/>
      <c r="AF30" s="761"/>
      <c r="AG30" s="761"/>
      <c r="AH30" s="761"/>
      <c r="AI30" s="761"/>
      <c r="AJ30" s="761"/>
      <c r="AK30" s="761"/>
      <c r="AL30" s="761"/>
      <c r="AO30" s="301"/>
      <c r="AP30" s="301"/>
      <c r="AQ30" s="301"/>
      <c r="AR30" s="301"/>
      <c r="AS30" s="301"/>
      <c r="AT30" s="301"/>
      <c r="AU30" s="301"/>
      <c r="AV30" s="301"/>
      <c r="AW30" s="301"/>
      <c r="AX30" s="301"/>
      <c r="AY30" s="301"/>
      <c r="AZ30" s="301"/>
      <c r="BA30" s="301"/>
      <c r="BB30" s="301"/>
      <c r="BC30" s="301"/>
      <c r="BD30" s="301"/>
      <c r="BE30" s="301"/>
      <c r="BF30" s="301"/>
      <c r="BH30" s="8"/>
      <c r="BI30" s="689"/>
      <c r="BJ30" s="690"/>
      <c r="BK30" s="723"/>
      <c r="BL30" s="724"/>
      <c r="BM30" s="19" t="s">
        <v>77</v>
      </c>
      <c r="BN30" s="19"/>
      <c r="BO30" s="19"/>
      <c r="BP30" s="19"/>
      <c r="BQ30" s="19"/>
      <c r="BR30" s="19"/>
      <c r="BS30" s="19"/>
      <c r="BT30" s="19"/>
      <c r="BU30" s="19"/>
      <c r="BV30" s="19"/>
      <c r="BW30" s="19"/>
      <c r="BX30" s="19"/>
      <c r="BY30" s="28">
        <f>'측정자 입력파일'!Z19</f>
        <v>2</v>
      </c>
      <c r="BZ30" s="366"/>
      <c r="CA30" s="8"/>
      <c r="CB30" s="8"/>
      <c r="CU30" s="8"/>
      <c r="CV30" s="8"/>
      <c r="CW30" s="689"/>
      <c r="CX30" s="690"/>
      <c r="CY30" s="22" t="s">
        <v>73</v>
      </c>
      <c r="CZ30" s="23"/>
      <c r="DA30" s="24"/>
      <c r="DB30" s="24"/>
      <c r="DC30" s="24"/>
      <c r="DD30" s="24"/>
      <c r="DE30" s="24"/>
      <c r="DF30" s="24"/>
      <c r="DG30" s="24"/>
      <c r="DH30" s="24"/>
      <c r="DI30" s="24"/>
      <c r="DJ30" s="24"/>
      <c r="DK30" s="24"/>
      <c r="DL30" s="24"/>
      <c r="DM30" s="25">
        <f>'측정자 입력파일'!X49</f>
        <v>5</v>
      </c>
      <c r="DN30" s="364"/>
      <c r="DO30" s="8"/>
    </row>
    <row r="31" spans="2:119" ht="13.5" customHeight="1" thickBot="1">
      <c r="B31" s="686"/>
      <c r="C31" s="686"/>
      <c r="D31" s="686"/>
      <c r="E31" s="686"/>
      <c r="F31" s="686"/>
      <c r="G31" s="686"/>
      <c r="H31" s="686"/>
      <c r="I31" s="686"/>
      <c r="J31" s="686"/>
      <c r="X31" s="771"/>
      <c r="Y31" s="760"/>
      <c r="Z31" s="761"/>
      <c r="AA31" s="761"/>
      <c r="AB31" s="761"/>
      <c r="AC31" s="761"/>
      <c r="AD31" s="761"/>
      <c r="AE31" s="761"/>
      <c r="AF31" s="761"/>
      <c r="AG31" s="761"/>
      <c r="AH31" s="761"/>
      <c r="AI31" s="761"/>
      <c r="AJ31" s="761"/>
      <c r="AK31" s="761"/>
      <c r="AL31" s="761"/>
      <c r="AO31" s="301"/>
      <c r="AP31" s="301"/>
      <c r="AQ31" s="301"/>
      <c r="AR31" s="301"/>
      <c r="AS31" s="301"/>
      <c r="AT31" s="301"/>
      <c r="AU31" s="301"/>
      <c r="AV31" s="301"/>
      <c r="AW31" s="301"/>
      <c r="AX31" s="301"/>
      <c r="AY31" s="301"/>
      <c r="AZ31" s="301"/>
      <c r="BA31" s="301"/>
      <c r="BB31" s="301"/>
      <c r="BC31" s="301"/>
      <c r="BD31" s="301"/>
      <c r="BE31" s="301"/>
      <c r="BF31" s="301"/>
      <c r="BH31" s="8"/>
      <c r="BI31" s="689"/>
      <c r="BJ31" s="690"/>
      <c r="BK31" s="26" t="s">
        <v>80</v>
      </c>
      <c r="BL31" s="27"/>
      <c r="BM31" s="24" t="s">
        <v>81</v>
      </c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5">
        <f>'측정자 입력파일'!Z20</f>
        <v>10</v>
      </c>
      <c r="BZ31" s="367"/>
      <c r="CA31" s="8"/>
      <c r="CB31" s="8"/>
      <c r="CC31" s="687" t="s">
        <v>57</v>
      </c>
      <c r="CD31" s="747"/>
      <c r="CE31" s="371" t="s">
        <v>58</v>
      </c>
      <c r="CF31" s="9"/>
      <c r="CG31" s="9"/>
      <c r="CH31" s="9"/>
      <c r="CI31" s="9"/>
      <c r="CJ31" s="9"/>
      <c r="CK31" s="9"/>
      <c r="CL31" s="9"/>
      <c r="CM31" s="9"/>
      <c r="CN31" s="9"/>
      <c r="CO31" s="9"/>
      <c r="CP31" s="9"/>
      <c r="CQ31" s="9"/>
      <c r="CR31" s="361"/>
      <c r="CS31" s="11">
        <f>'측정자 입력파일'!AA34</f>
        <v>8</v>
      </c>
      <c r="CT31" s="12"/>
      <c r="CU31" s="8"/>
      <c r="CV31" s="8"/>
      <c r="CW31" s="691" t="s">
        <v>76</v>
      </c>
      <c r="CX31" s="726"/>
      <c r="CY31" s="778"/>
      <c r="CZ31" s="772"/>
      <c r="DA31" s="772"/>
      <c r="DB31" s="772"/>
      <c r="DC31" s="772"/>
      <c r="DD31" s="772"/>
      <c r="DE31" s="772"/>
      <c r="DF31" s="772"/>
      <c r="DG31" s="772"/>
      <c r="DH31" s="772"/>
      <c r="DI31" s="772"/>
      <c r="DJ31" s="772"/>
      <c r="DK31" s="772"/>
      <c r="DL31" s="772"/>
      <c r="DM31" s="772"/>
      <c r="DN31" s="773"/>
      <c r="DO31" s="8"/>
    </row>
    <row r="32" spans="2:119" ht="13.5" customHeight="1">
      <c r="B32" s="686"/>
      <c r="C32" s="686"/>
      <c r="D32" s="686"/>
      <c r="E32" s="686"/>
      <c r="F32" s="686"/>
      <c r="G32" s="686"/>
      <c r="H32" s="686"/>
      <c r="I32" s="686"/>
      <c r="J32" s="686"/>
      <c r="X32" s="771"/>
      <c r="Y32" s="760"/>
      <c r="Z32" s="761"/>
      <c r="AA32" s="761"/>
      <c r="AB32" s="761"/>
      <c r="AC32" s="761"/>
      <c r="AD32" s="761"/>
      <c r="AE32" s="761"/>
      <c r="AF32" s="761"/>
      <c r="AG32" s="761"/>
      <c r="AH32" s="761"/>
      <c r="AI32" s="761"/>
      <c r="AJ32" s="761"/>
      <c r="AK32" s="761"/>
      <c r="AL32" s="761"/>
      <c r="AO32" s="301"/>
      <c r="AP32" s="301"/>
      <c r="AQ32" s="301"/>
      <c r="AR32" s="301"/>
      <c r="AS32" s="301"/>
      <c r="AT32" s="301"/>
      <c r="AU32" s="301"/>
      <c r="AV32" s="301"/>
      <c r="AW32" s="301"/>
      <c r="AX32" s="301"/>
      <c r="AY32" s="301"/>
      <c r="AZ32" s="301"/>
      <c r="BA32" s="301"/>
      <c r="BB32" s="301"/>
      <c r="BC32" s="301"/>
      <c r="BD32" s="301"/>
      <c r="BE32" s="301"/>
      <c r="BF32" s="301"/>
      <c r="BH32" s="8"/>
      <c r="BI32" s="691" t="s">
        <v>76</v>
      </c>
      <c r="BJ32" s="726"/>
      <c r="BK32" s="772"/>
      <c r="BL32" s="772"/>
      <c r="BM32" s="772"/>
      <c r="BN32" s="772"/>
      <c r="BO32" s="772"/>
      <c r="BP32" s="772"/>
      <c r="BQ32" s="772"/>
      <c r="BR32" s="772"/>
      <c r="BS32" s="772"/>
      <c r="BT32" s="772"/>
      <c r="BU32" s="772"/>
      <c r="BV32" s="772"/>
      <c r="BW32" s="772"/>
      <c r="BX32" s="772"/>
      <c r="BY32" s="772"/>
      <c r="BZ32" s="773"/>
      <c r="CA32" s="8"/>
      <c r="CB32" s="8"/>
      <c r="CC32" s="689"/>
      <c r="CD32" s="748"/>
      <c r="CE32" s="16" t="s">
        <v>66</v>
      </c>
      <c r="CF32" s="17"/>
      <c r="CG32" s="17"/>
      <c r="CH32" s="17"/>
      <c r="CI32" s="17"/>
      <c r="CJ32" s="17"/>
      <c r="CK32" s="17"/>
      <c r="CL32" s="17"/>
      <c r="CM32" s="17"/>
      <c r="CN32" s="17"/>
      <c r="CO32" s="17"/>
      <c r="CP32" s="17"/>
      <c r="CQ32" s="346"/>
      <c r="CR32" s="347">
        <f>'측정자 입력파일'!D66</f>
        <v>17535.940783986654</v>
      </c>
      <c r="CS32" s="348"/>
      <c r="CT32" s="376"/>
      <c r="CU32" s="8"/>
      <c r="CV32" s="8"/>
      <c r="CW32" s="693"/>
      <c r="CX32" s="727"/>
      <c r="CY32" s="779"/>
      <c r="CZ32" s="774"/>
      <c r="DA32" s="774"/>
      <c r="DB32" s="774"/>
      <c r="DC32" s="774"/>
      <c r="DD32" s="774"/>
      <c r="DE32" s="774"/>
      <c r="DF32" s="774"/>
      <c r="DG32" s="774"/>
      <c r="DH32" s="774"/>
      <c r="DI32" s="774"/>
      <c r="DJ32" s="774"/>
      <c r="DK32" s="774"/>
      <c r="DL32" s="774"/>
      <c r="DM32" s="774"/>
      <c r="DN32" s="775"/>
      <c r="DO32" s="8"/>
    </row>
    <row r="33" spans="2:119" ht="13.5" customHeight="1">
      <c r="B33" s="686"/>
      <c r="C33" s="686"/>
      <c r="D33" s="686"/>
      <c r="E33" s="686"/>
      <c r="F33" s="686"/>
      <c r="G33" s="686"/>
      <c r="H33" s="686"/>
      <c r="I33" s="686"/>
      <c r="J33" s="686"/>
      <c r="X33" s="771" t="s">
        <v>156</v>
      </c>
      <c r="Y33" s="760">
        <f>'측정자 입력파일'!AA36</f>
        <v>5</v>
      </c>
      <c r="Z33" s="761" t="str">
        <f>'측정자 입력파일'!AD36</f>
        <v>근로자 1인당 평균 교육시간이 39.3시간으로 기준을 충족하며, 내외부 교육을 통해 역량 강화를 지원한 점이 인정되어 5점을 충족함</v>
      </c>
      <c r="AA33" s="761"/>
      <c r="AB33" s="761"/>
      <c r="AC33" s="761"/>
      <c r="AD33" s="761"/>
      <c r="AE33" s="761"/>
      <c r="AF33" s="761"/>
      <c r="AG33" s="761"/>
      <c r="AH33" s="761"/>
      <c r="AI33" s="761"/>
      <c r="AJ33" s="761"/>
      <c r="AK33" s="761"/>
      <c r="AL33" s="761"/>
      <c r="AO33" s="301"/>
      <c r="AP33" s="301"/>
      <c r="AQ33" s="301"/>
      <c r="AR33" s="301"/>
      <c r="AS33" s="301"/>
      <c r="AT33" s="301"/>
      <c r="AU33" s="301"/>
      <c r="AV33" s="301"/>
      <c r="AW33" s="301"/>
      <c r="AX33" s="301"/>
      <c r="AY33" s="301"/>
      <c r="AZ33" s="301"/>
      <c r="BA33" s="301"/>
      <c r="BB33" s="301"/>
      <c r="BC33" s="301"/>
      <c r="BD33" s="301"/>
      <c r="BE33" s="301"/>
      <c r="BF33" s="301"/>
      <c r="BH33" s="8"/>
      <c r="BI33" s="693"/>
      <c r="BJ33" s="727"/>
      <c r="BK33" s="774"/>
      <c r="BL33" s="774"/>
      <c r="BM33" s="774"/>
      <c r="BN33" s="774"/>
      <c r="BO33" s="774"/>
      <c r="BP33" s="774"/>
      <c r="BQ33" s="774"/>
      <c r="BR33" s="774"/>
      <c r="BS33" s="774"/>
      <c r="BT33" s="774"/>
      <c r="BU33" s="774"/>
      <c r="BV33" s="774"/>
      <c r="BW33" s="774"/>
      <c r="BX33" s="774"/>
      <c r="BY33" s="774"/>
      <c r="BZ33" s="775"/>
      <c r="CA33" s="8"/>
      <c r="CB33" s="8"/>
      <c r="CC33" s="689"/>
      <c r="CD33" s="748"/>
      <c r="CE33" s="333" t="s">
        <v>72</v>
      </c>
      <c r="CF33" s="334"/>
      <c r="CG33" s="334"/>
      <c r="CH33" s="334"/>
      <c r="CI33" s="334"/>
      <c r="CJ33" s="334"/>
      <c r="CK33" s="334"/>
      <c r="CL33" s="334"/>
      <c r="CM33" s="334"/>
      <c r="CN33" s="334"/>
      <c r="CO33" s="334"/>
      <c r="CP33" s="334"/>
      <c r="CQ33" s="349"/>
      <c r="CR33" s="349">
        <f>'측정자 입력파일'!AD97</f>
        <v>16643</v>
      </c>
      <c r="CS33" s="349"/>
      <c r="CT33" s="377"/>
      <c r="CU33" s="8"/>
      <c r="CV33" s="8"/>
      <c r="CW33" s="693"/>
      <c r="CX33" s="727"/>
      <c r="CY33" s="779"/>
      <c r="CZ33" s="774"/>
      <c r="DA33" s="774"/>
      <c r="DB33" s="774"/>
      <c r="DC33" s="774"/>
      <c r="DD33" s="774"/>
      <c r="DE33" s="774"/>
      <c r="DF33" s="774"/>
      <c r="DG33" s="774"/>
      <c r="DH33" s="774"/>
      <c r="DI33" s="774"/>
      <c r="DJ33" s="774"/>
      <c r="DK33" s="774"/>
      <c r="DL33" s="774"/>
      <c r="DM33" s="774"/>
      <c r="DN33" s="775"/>
      <c r="DO33" s="8"/>
    </row>
    <row r="34" spans="2:119" ht="13.5" customHeight="1">
      <c r="B34" s="686"/>
      <c r="C34" s="686"/>
      <c r="D34" s="686"/>
      <c r="E34" s="686"/>
      <c r="F34" s="686"/>
      <c r="G34" s="686"/>
      <c r="H34" s="686"/>
      <c r="I34" s="686"/>
      <c r="J34" s="686"/>
      <c r="X34" s="771"/>
      <c r="Y34" s="760"/>
      <c r="Z34" s="761"/>
      <c r="AA34" s="761"/>
      <c r="AB34" s="761"/>
      <c r="AC34" s="761"/>
      <c r="AD34" s="761"/>
      <c r="AE34" s="761"/>
      <c r="AF34" s="761"/>
      <c r="AG34" s="761"/>
      <c r="AH34" s="761"/>
      <c r="AI34" s="761"/>
      <c r="AJ34" s="761"/>
      <c r="AK34" s="761"/>
      <c r="AL34" s="761"/>
      <c r="AO34" s="301"/>
      <c r="AP34" s="301"/>
      <c r="AQ34" s="301"/>
      <c r="AR34" s="301"/>
      <c r="AS34" s="301"/>
      <c r="AT34" s="301"/>
      <c r="AU34" s="301"/>
      <c r="AV34" s="301"/>
      <c r="AW34" s="301"/>
      <c r="AX34" s="301"/>
      <c r="AY34" s="301"/>
      <c r="AZ34" s="301"/>
      <c r="BA34" s="301"/>
      <c r="BB34" s="301"/>
      <c r="BC34" s="301"/>
      <c r="BD34" s="301"/>
      <c r="BE34" s="301"/>
      <c r="BF34" s="301"/>
      <c r="BH34" s="8"/>
      <c r="BI34" s="693"/>
      <c r="BJ34" s="727"/>
      <c r="BK34" s="774"/>
      <c r="BL34" s="774"/>
      <c r="BM34" s="774"/>
      <c r="BN34" s="774"/>
      <c r="BO34" s="774"/>
      <c r="BP34" s="774"/>
      <c r="BQ34" s="774"/>
      <c r="BR34" s="774"/>
      <c r="BS34" s="774"/>
      <c r="BT34" s="774"/>
      <c r="BU34" s="774"/>
      <c r="BV34" s="774"/>
      <c r="BW34" s="774"/>
      <c r="BX34" s="774"/>
      <c r="BY34" s="774"/>
      <c r="BZ34" s="775"/>
      <c r="CA34" s="8"/>
      <c r="CB34" s="8"/>
      <c r="CC34" s="691" t="s">
        <v>76</v>
      </c>
      <c r="CD34" s="726"/>
      <c r="CE34" s="772"/>
      <c r="CF34" s="772"/>
      <c r="CG34" s="772"/>
      <c r="CH34" s="772"/>
      <c r="CI34" s="772"/>
      <c r="CJ34" s="772"/>
      <c r="CK34" s="772"/>
      <c r="CL34" s="772"/>
      <c r="CM34" s="772"/>
      <c r="CN34" s="772"/>
      <c r="CO34" s="772"/>
      <c r="CP34" s="772"/>
      <c r="CQ34" s="772"/>
      <c r="CR34" s="772"/>
      <c r="CS34" s="772"/>
      <c r="CT34" s="773"/>
      <c r="CU34" s="8"/>
      <c r="CV34" s="8"/>
      <c r="CW34" s="693"/>
      <c r="CX34" s="727"/>
      <c r="CY34" s="779"/>
      <c r="CZ34" s="774"/>
      <c r="DA34" s="774"/>
      <c r="DB34" s="774"/>
      <c r="DC34" s="774"/>
      <c r="DD34" s="774"/>
      <c r="DE34" s="774"/>
      <c r="DF34" s="774"/>
      <c r="DG34" s="774"/>
      <c r="DH34" s="774"/>
      <c r="DI34" s="774"/>
      <c r="DJ34" s="774"/>
      <c r="DK34" s="774"/>
      <c r="DL34" s="774"/>
      <c r="DM34" s="774"/>
      <c r="DN34" s="775"/>
      <c r="DO34" s="8"/>
    </row>
    <row r="35" spans="2:119" ht="13.5" customHeight="1" thickBot="1">
      <c r="B35" s="686"/>
      <c r="C35" s="686"/>
      <c r="D35" s="686"/>
      <c r="E35" s="686"/>
      <c r="F35" s="686"/>
      <c r="G35" s="686"/>
      <c r="H35" s="686"/>
      <c r="I35" s="686"/>
      <c r="J35" s="686"/>
      <c r="X35" s="771"/>
      <c r="Y35" s="760"/>
      <c r="Z35" s="761"/>
      <c r="AA35" s="761"/>
      <c r="AB35" s="761"/>
      <c r="AC35" s="761"/>
      <c r="AD35" s="761"/>
      <c r="AE35" s="761"/>
      <c r="AF35" s="761"/>
      <c r="AG35" s="761"/>
      <c r="AH35" s="761"/>
      <c r="AI35" s="761"/>
      <c r="AJ35" s="761"/>
      <c r="AK35" s="761"/>
      <c r="AL35" s="761"/>
      <c r="AO35" s="301"/>
      <c r="AP35" s="301"/>
      <c r="AQ35" s="301"/>
      <c r="AR35" s="301"/>
      <c r="AS35" s="301"/>
      <c r="AT35" s="301"/>
      <c r="AU35" s="301"/>
      <c r="AV35" s="301"/>
      <c r="AW35" s="301"/>
      <c r="AX35" s="301"/>
      <c r="AY35" s="301"/>
      <c r="AZ35" s="301"/>
      <c r="BA35" s="301"/>
      <c r="BB35" s="301"/>
      <c r="BC35" s="301"/>
      <c r="BD35" s="301"/>
      <c r="BE35" s="301"/>
      <c r="BF35" s="301"/>
      <c r="BH35" s="8"/>
      <c r="BI35" s="693"/>
      <c r="BJ35" s="727"/>
      <c r="BK35" s="774"/>
      <c r="BL35" s="774"/>
      <c r="BM35" s="774"/>
      <c r="BN35" s="774"/>
      <c r="BO35" s="774"/>
      <c r="BP35" s="774"/>
      <c r="BQ35" s="774"/>
      <c r="BR35" s="774"/>
      <c r="BS35" s="774"/>
      <c r="BT35" s="774"/>
      <c r="BU35" s="774"/>
      <c r="BV35" s="774"/>
      <c r="BW35" s="774"/>
      <c r="BX35" s="774"/>
      <c r="BY35" s="774"/>
      <c r="BZ35" s="775"/>
      <c r="CA35" s="8"/>
      <c r="CB35" s="8"/>
      <c r="CC35" s="693"/>
      <c r="CD35" s="727"/>
      <c r="CE35" s="774"/>
      <c r="CF35" s="774"/>
      <c r="CG35" s="774"/>
      <c r="CH35" s="774"/>
      <c r="CI35" s="774"/>
      <c r="CJ35" s="774"/>
      <c r="CK35" s="774"/>
      <c r="CL35" s="774"/>
      <c r="CM35" s="774"/>
      <c r="CN35" s="774"/>
      <c r="CO35" s="774"/>
      <c r="CP35" s="774"/>
      <c r="CQ35" s="774"/>
      <c r="CR35" s="774"/>
      <c r="CS35" s="774"/>
      <c r="CT35" s="775"/>
      <c r="CU35" s="8"/>
      <c r="CV35" s="8"/>
      <c r="CW35" s="695"/>
      <c r="CX35" s="728"/>
      <c r="CY35" s="780"/>
      <c r="CZ35" s="776"/>
      <c r="DA35" s="776"/>
      <c r="DB35" s="776"/>
      <c r="DC35" s="776"/>
      <c r="DD35" s="776"/>
      <c r="DE35" s="776"/>
      <c r="DF35" s="776"/>
      <c r="DG35" s="776"/>
      <c r="DH35" s="776"/>
      <c r="DI35" s="776"/>
      <c r="DJ35" s="776"/>
      <c r="DK35" s="776"/>
      <c r="DL35" s="776"/>
      <c r="DM35" s="776"/>
      <c r="DN35" s="777"/>
      <c r="DO35" s="8"/>
    </row>
    <row r="36" spans="2:119" ht="13.5" customHeight="1" thickBot="1">
      <c r="B36" s="300"/>
      <c r="C36" s="300"/>
      <c r="D36" s="300"/>
      <c r="E36" s="300"/>
      <c r="F36" s="300"/>
      <c r="G36" s="300"/>
      <c r="H36" s="300"/>
      <c r="I36" s="300"/>
      <c r="J36" s="300"/>
      <c r="X36" s="771" t="s">
        <v>158</v>
      </c>
      <c r="Y36" s="760">
        <f>'측정자 입력파일'!AA39</f>
        <v>7.3</v>
      </c>
      <c r="Z36" s="761">
        <f>'측정자 입력파일'!AD39</f>
        <v>0</v>
      </c>
      <c r="AA36" s="761"/>
      <c r="AB36" s="761"/>
      <c r="AC36" s="761"/>
      <c r="AD36" s="761"/>
      <c r="AE36" s="761"/>
      <c r="AF36" s="761"/>
      <c r="AG36" s="761"/>
      <c r="AH36" s="761"/>
      <c r="AI36" s="761"/>
      <c r="AJ36" s="761"/>
      <c r="AK36" s="761"/>
      <c r="AL36" s="761"/>
      <c r="AO36" s="301"/>
      <c r="AP36" s="301"/>
      <c r="AQ36" s="301"/>
      <c r="AR36" s="301"/>
      <c r="AS36" s="301"/>
      <c r="AT36" s="301"/>
      <c r="AU36" s="301"/>
      <c r="AV36" s="301"/>
      <c r="AW36" s="301"/>
      <c r="AX36" s="301"/>
      <c r="AY36" s="301"/>
      <c r="AZ36" s="301"/>
      <c r="BA36" s="301"/>
      <c r="BB36" s="301"/>
      <c r="BC36" s="301"/>
      <c r="BD36" s="301"/>
      <c r="BE36" s="301"/>
      <c r="BF36" s="301"/>
      <c r="BH36" s="8"/>
      <c r="BI36" s="695"/>
      <c r="BJ36" s="728"/>
      <c r="BK36" s="776"/>
      <c r="BL36" s="776"/>
      <c r="BM36" s="776"/>
      <c r="BN36" s="776"/>
      <c r="BO36" s="776"/>
      <c r="BP36" s="776"/>
      <c r="BQ36" s="776"/>
      <c r="BR36" s="776"/>
      <c r="BS36" s="776"/>
      <c r="BT36" s="776"/>
      <c r="BU36" s="776"/>
      <c r="BV36" s="776"/>
      <c r="BW36" s="776"/>
      <c r="BX36" s="776"/>
      <c r="BY36" s="776"/>
      <c r="BZ36" s="777"/>
      <c r="CA36" s="8"/>
      <c r="CC36" s="693"/>
      <c r="CD36" s="727"/>
      <c r="CE36" s="774"/>
      <c r="CF36" s="774"/>
      <c r="CG36" s="774"/>
      <c r="CH36" s="774"/>
      <c r="CI36" s="774"/>
      <c r="CJ36" s="774"/>
      <c r="CK36" s="774"/>
      <c r="CL36" s="774"/>
      <c r="CM36" s="774"/>
      <c r="CN36" s="774"/>
      <c r="CO36" s="774"/>
      <c r="CP36" s="774"/>
      <c r="CQ36" s="774"/>
      <c r="CR36" s="774"/>
      <c r="CS36" s="774"/>
      <c r="CT36" s="775"/>
      <c r="CV36" s="8"/>
      <c r="DO36" s="8"/>
    </row>
    <row r="37" spans="2:119" ht="13.5" customHeight="1">
      <c r="B37" s="300"/>
      <c r="C37" s="300"/>
      <c r="D37" s="300"/>
      <c r="E37" s="300"/>
      <c r="F37" s="300"/>
      <c r="G37" s="300"/>
      <c r="H37" s="300"/>
      <c r="I37" s="300"/>
      <c r="J37" s="300"/>
      <c r="X37" s="771"/>
      <c r="Y37" s="760"/>
      <c r="Z37" s="761"/>
      <c r="AA37" s="761"/>
      <c r="AB37" s="761"/>
      <c r="AC37" s="761"/>
      <c r="AD37" s="761"/>
      <c r="AE37" s="761"/>
      <c r="AF37" s="761"/>
      <c r="AG37" s="761"/>
      <c r="AH37" s="761"/>
      <c r="AI37" s="761"/>
      <c r="AJ37" s="761"/>
      <c r="AK37" s="761"/>
      <c r="AL37" s="761"/>
      <c r="AO37" s="301"/>
      <c r="AP37" s="301"/>
      <c r="AQ37" s="301"/>
      <c r="AR37" s="301"/>
      <c r="AS37" s="301"/>
      <c r="AT37" s="301"/>
      <c r="AU37" s="301"/>
      <c r="AV37" s="301"/>
      <c r="AW37" s="301"/>
      <c r="AX37" s="301"/>
      <c r="AY37" s="301"/>
      <c r="AZ37" s="301"/>
      <c r="BA37" s="301"/>
      <c r="BB37" s="301"/>
      <c r="BC37" s="301"/>
      <c r="BD37" s="301"/>
      <c r="BE37" s="301"/>
      <c r="BF37" s="301"/>
      <c r="BH37" s="8"/>
      <c r="CA37" s="8"/>
      <c r="CC37" s="693"/>
      <c r="CD37" s="727"/>
      <c r="CE37" s="774"/>
      <c r="CF37" s="774"/>
      <c r="CG37" s="774"/>
      <c r="CH37" s="774"/>
      <c r="CI37" s="774"/>
      <c r="CJ37" s="774"/>
      <c r="CK37" s="774"/>
      <c r="CL37" s="774"/>
      <c r="CM37" s="774"/>
      <c r="CN37" s="774"/>
      <c r="CO37" s="774"/>
      <c r="CP37" s="774"/>
      <c r="CQ37" s="774"/>
      <c r="CR37" s="774"/>
      <c r="CS37" s="774"/>
      <c r="CT37" s="775"/>
      <c r="CV37" s="8"/>
      <c r="DO37" s="8"/>
    </row>
    <row r="38" spans="2:119" ht="13.5" customHeight="1" thickBot="1">
      <c r="B38" s="300"/>
      <c r="C38" s="300"/>
      <c r="D38" s="300"/>
      <c r="E38" s="300"/>
      <c r="F38" s="300"/>
      <c r="G38" s="300"/>
      <c r="H38" s="300"/>
      <c r="I38" s="300"/>
      <c r="J38" s="300"/>
      <c r="X38" s="771"/>
      <c r="Y38" s="760"/>
      <c r="Z38" s="761"/>
      <c r="AA38" s="761"/>
      <c r="AB38" s="761"/>
      <c r="AC38" s="761"/>
      <c r="AD38" s="761"/>
      <c r="AE38" s="761"/>
      <c r="AF38" s="761"/>
      <c r="AG38" s="761"/>
      <c r="AH38" s="761"/>
      <c r="AI38" s="761"/>
      <c r="AJ38" s="761"/>
      <c r="AK38" s="761"/>
      <c r="AL38" s="761"/>
      <c r="AO38" s="301"/>
      <c r="AP38" s="301"/>
      <c r="AQ38" s="301"/>
      <c r="AR38" s="301"/>
      <c r="AS38" s="301"/>
      <c r="AT38" s="301"/>
      <c r="AU38" s="301"/>
      <c r="AV38" s="301"/>
      <c r="AW38" s="301"/>
      <c r="AX38" s="301"/>
      <c r="AY38" s="301"/>
      <c r="AZ38" s="301"/>
      <c r="BA38" s="301"/>
      <c r="BB38" s="301"/>
      <c r="BC38" s="301"/>
      <c r="BD38" s="301"/>
      <c r="BE38" s="301"/>
      <c r="BF38" s="301"/>
      <c r="CC38" s="695"/>
      <c r="CD38" s="728"/>
      <c r="CE38" s="776"/>
      <c r="CF38" s="776"/>
      <c r="CG38" s="776"/>
      <c r="CH38" s="776"/>
      <c r="CI38" s="776"/>
      <c r="CJ38" s="776"/>
      <c r="CK38" s="776"/>
      <c r="CL38" s="776"/>
      <c r="CM38" s="776"/>
      <c r="CN38" s="776"/>
      <c r="CO38" s="776"/>
      <c r="CP38" s="776"/>
      <c r="CQ38" s="776"/>
      <c r="CR38" s="776"/>
      <c r="CS38" s="776"/>
      <c r="CT38" s="777"/>
    </row>
    <row r="39" spans="2:119" ht="13.5" customHeight="1" thickBot="1">
      <c r="B39" s="300"/>
      <c r="C39" s="300"/>
      <c r="D39" s="300"/>
      <c r="E39" s="300"/>
      <c r="F39" s="300"/>
      <c r="G39" s="300"/>
      <c r="H39" s="300"/>
      <c r="I39" s="300"/>
      <c r="J39" s="300"/>
      <c r="X39" s="771" t="s">
        <v>117</v>
      </c>
      <c r="Y39" s="760">
        <f>'측정자 입력파일'!AA41</f>
        <v>6.8</v>
      </c>
      <c r="Z39" s="761">
        <f>'측정자 입력파일'!AD41</f>
        <v>0</v>
      </c>
      <c r="AA39" s="761"/>
      <c r="AB39" s="761"/>
      <c r="AC39" s="761"/>
      <c r="AD39" s="761"/>
      <c r="AE39" s="761"/>
      <c r="AF39" s="761"/>
      <c r="AG39" s="761"/>
      <c r="AH39" s="761"/>
      <c r="AI39" s="761"/>
      <c r="AJ39" s="761"/>
      <c r="AK39" s="761"/>
      <c r="AL39" s="761"/>
      <c r="AO39" s="301"/>
      <c r="AP39" s="301"/>
      <c r="AQ39" s="301"/>
      <c r="AR39" s="301"/>
      <c r="AS39" s="301"/>
      <c r="AT39" s="301"/>
      <c r="AU39" s="301"/>
      <c r="AV39" s="301"/>
      <c r="AW39" s="301"/>
      <c r="AX39" s="301"/>
      <c r="AY39" s="301"/>
      <c r="AZ39" s="301"/>
      <c r="BA39" s="301"/>
      <c r="BB39" s="301"/>
      <c r="BC39" s="301"/>
      <c r="BD39" s="301"/>
      <c r="BE39" s="301"/>
      <c r="BF39" s="301"/>
      <c r="BI39" s="687" t="s">
        <v>97</v>
      </c>
      <c r="BJ39" s="688"/>
      <c r="BK39" s="360" t="s">
        <v>448</v>
      </c>
      <c r="BL39" s="361"/>
      <c r="BM39" s="361"/>
      <c r="BN39" s="361"/>
      <c r="BO39" s="361"/>
      <c r="BP39" s="361"/>
      <c r="BQ39" s="361"/>
      <c r="BR39" s="361"/>
      <c r="BS39" s="361"/>
      <c r="BT39" s="361"/>
      <c r="BU39" s="361"/>
      <c r="BV39" s="361"/>
      <c r="BW39" s="361"/>
      <c r="BX39" s="361"/>
      <c r="BY39" s="11">
        <f>'측정자 입력파일'!AA22</f>
        <v>5</v>
      </c>
      <c r="BZ39" s="332"/>
    </row>
    <row r="40" spans="2:119" ht="13.5" customHeight="1" thickBot="1">
      <c r="B40" s="300"/>
      <c r="C40" s="300"/>
      <c r="D40" s="300"/>
      <c r="E40" s="300"/>
      <c r="F40" s="300"/>
      <c r="G40" s="300"/>
      <c r="H40" s="300"/>
      <c r="I40" s="300"/>
      <c r="J40" s="300"/>
      <c r="X40" s="771"/>
      <c r="Y40" s="760"/>
      <c r="Z40" s="761"/>
      <c r="AA40" s="761"/>
      <c r="AB40" s="761"/>
      <c r="AC40" s="761"/>
      <c r="AD40" s="761"/>
      <c r="AE40" s="761"/>
      <c r="AF40" s="761"/>
      <c r="AG40" s="761"/>
      <c r="AH40" s="761"/>
      <c r="AI40" s="761"/>
      <c r="AJ40" s="761"/>
      <c r="AK40" s="761"/>
      <c r="AL40" s="761"/>
      <c r="AO40" s="301"/>
      <c r="AP40" s="301"/>
      <c r="AQ40" s="301"/>
      <c r="AR40" s="301"/>
      <c r="AS40" s="301"/>
      <c r="AT40" s="301"/>
      <c r="AU40" s="301"/>
      <c r="AV40" s="301"/>
      <c r="AW40" s="301"/>
      <c r="AX40" s="301"/>
      <c r="AY40" s="301"/>
      <c r="AZ40" s="301"/>
      <c r="BA40" s="301"/>
      <c r="BB40" s="301"/>
      <c r="BC40" s="301"/>
      <c r="BD40" s="301"/>
      <c r="BE40" s="301"/>
      <c r="BF40" s="301"/>
      <c r="BI40" s="745"/>
      <c r="BJ40" s="746"/>
      <c r="BK40" s="33" t="s">
        <v>449</v>
      </c>
      <c r="BL40" s="24"/>
      <c r="BM40" s="24"/>
      <c r="BN40" s="24"/>
      <c r="BO40" s="24"/>
      <c r="BP40" s="24"/>
      <c r="BQ40" s="24"/>
      <c r="BR40" s="24"/>
      <c r="BS40" s="24"/>
      <c r="BT40" s="24"/>
      <c r="BU40" s="24"/>
      <c r="BV40" s="24"/>
      <c r="BW40" s="24"/>
      <c r="BX40" s="24"/>
      <c r="BY40" s="34">
        <f>'측정자 입력파일'!Y22</f>
        <v>8</v>
      </c>
      <c r="BZ40" s="368"/>
    </row>
    <row r="41" spans="2:119" ht="13.5" customHeight="1" thickBot="1">
      <c r="B41" s="300"/>
      <c r="C41" s="300"/>
      <c r="D41" s="300"/>
      <c r="E41" s="300"/>
      <c r="F41" s="300"/>
      <c r="G41" s="300"/>
      <c r="H41" s="300"/>
      <c r="I41" s="300"/>
      <c r="J41" s="300"/>
      <c r="X41" s="771"/>
      <c r="Y41" s="760"/>
      <c r="Z41" s="761"/>
      <c r="AA41" s="761"/>
      <c r="AB41" s="761"/>
      <c r="AC41" s="761"/>
      <c r="AD41" s="761"/>
      <c r="AE41" s="761"/>
      <c r="AF41" s="761"/>
      <c r="AG41" s="761"/>
      <c r="AH41" s="761"/>
      <c r="AI41" s="761"/>
      <c r="AJ41" s="761"/>
      <c r="AK41" s="761"/>
      <c r="AL41" s="761"/>
      <c r="AO41" s="301"/>
      <c r="AP41" s="301"/>
      <c r="AQ41" s="301"/>
      <c r="AR41" s="301"/>
      <c r="AS41" s="301"/>
      <c r="AT41" s="301"/>
      <c r="AU41" s="301"/>
      <c r="AV41" s="301"/>
      <c r="AW41" s="301"/>
      <c r="AX41" s="301"/>
      <c r="AY41" s="301"/>
      <c r="AZ41" s="301"/>
      <c r="BA41" s="301"/>
      <c r="BB41" s="301"/>
      <c r="BC41" s="301"/>
      <c r="BD41" s="301"/>
      <c r="BE41" s="301"/>
      <c r="BF41" s="301"/>
      <c r="BI41" s="691" t="s">
        <v>76</v>
      </c>
      <c r="BJ41" s="726"/>
      <c r="BK41" s="772"/>
      <c r="BL41" s="772"/>
      <c r="BM41" s="772"/>
      <c r="BN41" s="772"/>
      <c r="BO41" s="772"/>
      <c r="BP41" s="772"/>
      <c r="BQ41" s="772"/>
      <c r="BR41" s="772"/>
      <c r="BS41" s="772"/>
      <c r="BT41" s="772"/>
      <c r="BU41" s="772"/>
      <c r="BV41" s="772"/>
      <c r="BW41" s="772"/>
      <c r="BX41" s="772"/>
      <c r="BY41" s="772"/>
      <c r="BZ41" s="773"/>
      <c r="CC41" s="687" t="s">
        <v>88</v>
      </c>
      <c r="CD41" s="688"/>
      <c r="CE41" s="360" t="s">
        <v>427</v>
      </c>
      <c r="CF41" s="361"/>
      <c r="CG41" s="361"/>
      <c r="CH41" s="361"/>
      <c r="CI41" s="361"/>
      <c r="CJ41" s="361"/>
      <c r="CK41" s="361"/>
      <c r="CL41" s="361"/>
      <c r="CM41" s="361"/>
      <c r="CN41" s="361"/>
      <c r="CO41" s="361"/>
      <c r="CP41" s="361"/>
      <c r="CQ41" s="361"/>
      <c r="CR41" s="369"/>
      <c r="CS41" s="11">
        <f>'측정자 입력파일'!AA36</f>
        <v>5</v>
      </c>
      <c r="CT41" s="12"/>
    </row>
    <row r="42" spans="2:119" ht="13.5" customHeight="1">
      <c r="B42" s="300"/>
      <c r="C42" s="300"/>
      <c r="D42" s="300"/>
      <c r="E42" s="300"/>
      <c r="F42" s="300"/>
      <c r="G42" s="300"/>
      <c r="H42" s="300"/>
      <c r="I42" s="300"/>
      <c r="J42" s="300"/>
      <c r="M42" s="758"/>
      <c r="N42" s="758"/>
      <c r="O42" s="758"/>
      <c r="P42" s="758"/>
      <c r="R42" s="758"/>
      <c r="S42" s="758"/>
      <c r="T42" s="758"/>
      <c r="U42" s="758"/>
      <c r="X42" s="771" t="s">
        <v>127</v>
      </c>
      <c r="Y42" s="760">
        <f>'측정자 입력파일'!AA43</f>
        <v>3.5</v>
      </c>
      <c r="Z42" s="761">
        <f>'측정자 입력파일'!AD43</f>
        <v>0</v>
      </c>
      <c r="AA42" s="761"/>
      <c r="AB42" s="761"/>
      <c r="AC42" s="761"/>
      <c r="AD42" s="761"/>
      <c r="AE42" s="761"/>
      <c r="AF42" s="761"/>
      <c r="AG42" s="761"/>
      <c r="AH42" s="761"/>
      <c r="AI42" s="761"/>
      <c r="AJ42" s="761"/>
      <c r="AK42" s="761"/>
      <c r="AL42" s="761"/>
      <c r="AO42" s="301"/>
      <c r="AP42" s="301"/>
      <c r="AQ42" s="301"/>
      <c r="AR42" s="301"/>
      <c r="AS42" s="301"/>
      <c r="AT42" s="301"/>
      <c r="AU42" s="301"/>
      <c r="AV42" s="301"/>
      <c r="AW42" s="301"/>
      <c r="AX42" s="301"/>
      <c r="AY42" s="301"/>
      <c r="AZ42" s="301"/>
      <c r="BA42" s="301"/>
      <c r="BB42" s="301"/>
      <c r="BC42" s="301"/>
      <c r="BD42" s="301"/>
      <c r="BE42" s="301"/>
      <c r="BF42" s="301"/>
      <c r="BI42" s="693"/>
      <c r="BJ42" s="727"/>
      <c r="BK42" s="774"/>
      <c r="BL42" s="774"/>
      <c r="BM42" s="774"/>
      <c r="BN42" s="774"/>
      <c r="BO42" s="774"/>
      <c r="BP42" s="774"/>
      <c r="BQ42" s="774"/>
      <c r="BR42" s="774"/>
      <c r="BS42" s="774"/>
      <c r="BT42" s="774"/>
      <c r="BU42" s="774"/>
      <c r="BV42" s="774"/>
      <c r="BW42" s="774"/>
      <c r="BX42" s="774"/>
      <c r="BY42" s="774"/>
      <c r="BZ42" s="775"/>
      <c r="CC42" s="689"/>
      <c r="CD42" s="690"/>
      <c r="CE42" s="30" t="s">
        <v>426</v>
      </c>
      <c r="CF42" s="13"/>
      <c r="CG42" s="13"/>
      <c r="CH42" s="13"/>
      <c r="CI42" s="13"/>
      <c r="CJ42" s="13"/>
      <c r="CK42" s="13"/>
      <c r="CL42" s="13"/>
      <c r="CM42" s="13"/>
      <c r="CN42" s="13"/>
      <c r="CO42" s="13"/>
      <c r="CP42" s="13"/>
      <c r="CQ42" s="21"/>
      <c r="CR42" s="350">
        <f>'측정자 입력파일'!Y36</f>
        <v>39.299999999999997</v>
      </c>
      <c r="CS42" s="351"/>
      <c r="CT42" s="378"/>
    </row>
    <row r="43" spans="2:119" ht="13.5" customHeight="1">
      <c r="B43" s="300"/>
      <c r="C43" s="300"/>
      <c r="D43" s="300"/>
      <c r="E43" s="300"/>
      <c r="F43" s="300"/>
      <c r="G43" s="300"/>
      <c r="H43" s="300"/>
      <c r="I43" s="300"/>
      <c r="J43" s="300"/>
      <c r="M43" s="758"/>
      <c r="N43" s="758"/>
      <c r="O43" s="758"/>
      <c r="P43" s="758"/>
      <c r="R43" s="758"/>
      <c r="S43" s="758"/>
      <c r="T43" s="758"/>
      <c r="U43" s="758"/>
      <c r="X43" s="771"/>
      <c r="Y43" s="760"/>
      <c r="Z43" s="761"/>
      <c r="AA43" s="761"/>
      <c r="AB43" s="761"/>
      <c r="AC43" s="761"/>
      <c r="AD43" s="761"/>
      <c r="AE43" s="761"/>
      <c r="AF43" s="761"/>
      <c r="AG43" s="761"/>
      <c r="AH43" s="761"/>
      <c r="AI43" s="761"/>
      <c r="AJ43" s="761"/>
      <c r="AK43" s="761"/>
      <c r="AL43" s="761"/>
      <c r="AO43" s="301"/>
      <c r="AP43" s="301"/>
      <c r="AQ43" s="301"/>
      <c r="AR43" s="301"/>
      <c r="AS43" s="301"/>
      <c r="AT43" s="301"/>
      <c r="AU43" s="301"/>
      <c r="AV43" s="301"/>
      <c r="AW43" s="301"/>
      <c r="AX43" s="301"/>
      <c r="AY43" s="301"/>
      <c r="AZ43" s="301"/>
      <c r="BA43" s="301"/>
      <c r="BB43" s="301"/>
      <c r="BC43" s="301"/>
      <c r="BD43" s="301"/>
      <c r="BE43" s="301"/>
      <c r="BF43" s="301"/>
      <c r="BI43" s="693"/>
      <c r="BJ43" s="727"/>
      <c r="BK43" s="774"/>
      <c r="BL43" s="774"/>
      <c r="BM43" s="774"/>
      <c r="BN43" s="774"/>
      <c r="BO43" s="774"/>
      <c r="BP43" s="774"/>
      <c r="BQ43" s="774"/>
      <c r="BR43" s="774"/>
      <c r="BS43" s="774"/>
      <c r="BT43" s="774"/>
      <c r="BU43" s="774"/>
      <c r="BV43" s="774"/>
      <c r="BW43" s="774"/>
      <c r="BX43" s="774"/>
      <c r="BY43" s="774"/>
      <c r="BZ43" s="775"/>
      <c r="CC43" s="689"/>
      <c r="CD43" s="690"/>
      <c r="CE43" s="30" t="s">
        <v>428</v>
      </c>
      <c r="CF43" s="13"/>
      <c r="CG43" s="13"/>
      <c r="CH43" s="13"/>
      <c r="CI43" s="13"/>
      <c r="CJ43" s="13"/>
      <c r="CK43" s="13"/>
      <c r="CL43" s="13"/>
      <c r="CM43" s="13"/>
      <c r="CN43" s="13"/>
      <c r="CO43" s="13"/>
      <c r="CP43" s="13"/>
      <c r="CQ43" s="21"/>
      <c r="CR43" s="31"/>
      <c r="CS43" s="329" t="str">
        <f>IF('측정자 입력파일'!Z37=1,"O","X")</f>
        <v>O</v>
      </c>
      <c r="CT43" s="379"/>
    </row>
    <row r="44" spans="2:119" ht="13.5" customHeight="1">
      <c r="B44" s="300"/>
      <c r="C44" s="300"/>
      <c r="D44" s="300"/>
      <c r="E44" s="300"/>
      <c r="F44" s="300"/>
      <c r="G44" s="300"/>
      <c r="H44" s="300"/>
      <c r="I44" s="300"/>
      <c r="J44" s="300"/>
      <c r="M44" s="758"/>
      <c r="N44" s="758"/>
      <c r="O44" s="758"/>
      <c r="P44" s="758"/>
      <c r="Q44" s="275"/>
      <c r="R44" s="758"/>
      <c r="S44" s="758"/>
      <c r="T44" s="758"/>
      <c r="U44" s="758"/>
      <c r="V44" s="275"/>
      <c r="W44" s="275"/>
      <c r="X44" s="771"/>
      <c r="Y44" s="760"/>
      <c r="Z44" s="761"/>
      <c r="AA44" s="761"/>
      <c r="AB44" s="761"/>
      <c r="AC44" s="761"/>
      <c r="AD44" s="761"/>
      <c r="AE44" s="761"/>
      <c r="AF44" s="761"/>
      <c r="AG44" s="761"/>
      <c r="AH44" s="761"/>
      <c r="AI44" s="761"/>
      <c r="AJ44" s="761"/>
      <c r="AK44" s="761"/>
      <c r="AL44" s="761"/>
      <c r="AO44" s="301"/>
      <c r="AP44" s="301"/>
      <c r="AQ44" s="301"/>
      <c r="AR44" s="301"/>
      <c r="AS44" s="301"/>
      <c r="AT44" s="301"/>
      <c r="AU44" s="301"/>
      <c r="AV44" s="301"/>
      <c r="AW44" s="301"/>
      <c r="AX44" s="301"/>
      <c r="AY44" s="301"/>
      <c r="AZ44" s="301"/>
      <c r="BA44" s="301"/>
      <c r="BB44" s="301"/>
      <c r="BC44" s="301"/>
      <c r="BD44" s="301"/>
      <c r="BE44" s="301"/>
      <c r="BF44" s="301"/>
      <c r="BI44" s="693"/>
      <c r="BJ44" s="727"/>
      <c r="BK44" s="774"/>
      <c r="BL44" s="774"/>
      <c r="BM44" s="774"/>
      <c r="BN44" s="774"/>
      <c r="BO44" s="774"/>
      <c r="BP44" s="774"/>
      <c r="BQ44" s="774"/>
      <c r="BR44" s="774"/>
      <c r="BS44" s="774"/>
      <c r="BT44" s="774"/>
      <c r="BU44" s="774"/>
      <c r="BV44" s="774"/>
      <c r="BW44" s="774"/>
      <c r="BX44" s="774"/>
      <c r="BY44" s="774"/>
      <c r="BZ44" s="775"/>
      <c r="CC44" s="691" t="s">
        <v>76</v>
      </c>
      <c r="CD44" s="726"/>
      <c r="CE44" s="749"/>
      <c r="CF44" s="750"/>
      <c r="CG44" s="750"/>
      <c r="CH44" s="750"/>
      <c r="CI44" s="750"/>
      <c r="CJ44" s="750"/>
      <c r="CK44" s="750"/>
      <c r="CL44" s="750"/>
      <c r="CM44" s="750"/>
      <c r="CN44" s="750"/>
      <c r="CO44" s="750"/>
      <c r="CP44" s="750"/>
      <c r="CQ44" s="750"/>
      <c r="CR44" s="750"/>
      <c r="CS44" s="750"/>
      <c r="CT44" s="751"/>
    </row>
    <row r="45" spans="2:119" ht="13.5" customHeight="1" thickBot="1">
      <c r="B45" s="300"/>
      <c r="C45" s="300"/>
      <c r="D45" s="300"/>
      <c r="E45" s="300"/>
      <c r="F45" s="300"/>
      <c r="G45" s="300"/>
      <c r="H45" s="300"/>
      <c r="I45" s="300"/>
      <c r="J45" s="300"/>
      <c r="M45" s="758"/>
      <c r="N45" s="758"/>
      <c r="O45" s="758"/>
      <c r="P45" s="758"/>
      <c r="R45" s="758"/>
      <c r="S45" s="758"/>
      <c r="T45" s="758"/>
      <c r="U45" s="758"/>
      <c r="X45" s="771" t="s">
        <v>129</v>
      </c>
      <c r="Y45" s="760">
        <f>'측정자 입력파일'!AA45</f>
        <v>3.5</v>
      </c>
      <c r="Z45" s="761">
        <f>'측정자 입력파일'!AD45</f>
        <v>0</v>
      </c>
      <c r="AA45" s="761"/>
      <c r="AB45" s="761"/>
      <c r="AC45" s="761"/>
      <c r="AD45" s="761"/>
      <c r="AE45" s="761"/>
      <c r="AF45" s="761"/>
      <c r="AG45" s="761"/>
      <c r="AH45" s="761"/>
      <c r="AI45" s="761"/>
      <c r="AJ45" s="761"/>
      <c r="AK45" s="761"/>
      <c r="AL45" s="761"/>
      <c r="AO45" s="301"/>
      <c r="AP45" s="301"/>
      <c r="AQ45" s="301"/>
      <c r="AR45" s="301"/>
      <c r="AS45" s="301"/>
      <c r="AT45" s="301"/>
      <c r="AU45" s="301"/>
      <c r="AV45" s="301"/>
      <c r="AW45" s="301"/>
      <c r="AX45" s="301"/>
      <c r="AY45" s="301"/>
      <c r="AZ45" s="301"/>
      <c r="BA45" s="301"/>
      <c r="BB45" s="301"/>
      <c r="BC45" s="301"/>
      <c r="BD45" s="301"/>
      <c r="BE45" s="301"/>
      <c r="BF45" s="301"/>
      <c r="BI45" s="695"/>
      <c r="BJ45" s="728"/>
      <c r="BK45" s="776"/>
      <c r="BL45" s="776"/>
      <c r="BM45" s="776"/>
      <c r="BN45" s="776"/>
      <c r="BO45" s="776"/>
      <c r="BP45" s="776"/>
      <c r="BQ45" s="776"/>
      <c r="BR45" s="776"/>
      <c r="BS45" s="776"/>
      <c r="BT45" s="776"/>
      <c r="BU45" s="776"/>
      <c r="BV45" s="776"/>
      <c r="BW45" s="776"/>
      <c r="BX45" s="776"/>
      <c r="BY45" s="776"/>
      <c r="BZ45" s="777"/>
      <c r="CC45" s="693"/>
      <c r="CD45" s="727"/>
      <c r="CE45" s="752"/>
      <c r="CF45" s="753"/>
      <c r="CG45" s="753"/>
      <c r="CH45" s="753"/>
      <c r="CI45" s="753"/>
      <c r="CJ45" s="753"/>
      <c r="CK45" s="753"/>
      <c r="CL45" s="753"/>
      <c r="CM45" s="753"/>
      <c r="CN45" s="753"/>
      <c r="CO45" s="753"/>
      <c r="CP45" s="753"/>
      <c r="CQ45" s="753"/>
      <c r="CR45" s="753"/>
      <c r="CS45" s="753"/>
      <c r="CT45" s="754"/>
    </row>
    <row r="46" spans="2:119" ht="13.5" customHeight="1">
      <c r="B46" s="300"/>
      <c r="C46" s="300"/>
      <c r="D46" s="300"/>
      <c r="E46" s="300"/>
      <c r="F46" s="300"/>
      <c r="G46" s="300"/>
      <c r="H46" s="300"/>
      <c r="I46" s="300"/>
      <c r="J46" s="300"/>
      <c r="M46" s="758"/>
      <c r="N46" s="758"/>
      <c r="O46" s="758"/>
      <c r="P46" s="758"/>
      <c r="R46" s="758"/>
      <c r="S46" s="758"/>
      <c r="T46" s="758"/>
      <c r="U46" s="758"/>
      <c r="X46" s="771"/>
      <c r="Y46" s="760"/>
      <c r="Z46" s="761"/>
      <c r="AA46" s="761"/>
      <c r="AB46" s="761"/>
      <c r="AC46" s="761"/>
      <c r="AD46" s="761"/>
      <c r="AE46" s="761"/>
      <c r="AF46" s="761"/>
      <c r="AG46" s="761"/>
      <c r="AH46" s="761"/>
      <c r="AI46" s="761"/>
      <c r="AJ46" s="761"/>
      <c r="AK46" s="761"/>
      <c r="AL46" s="761"/>
      <c r="AO46" s="301"/>
      <c r="AP46" s="301"/>
      <c r="AQ46" s="301"/>
      <c r="AR46" s="301"/>
      <c r="AS46" s="301"/>
      <c r="AT46" s="301"/>
      <c r="AU46" s="301"/>
      <c r="AV46" s="301"/>
      <c r="AW46" s="301"/>
      <c r="AX46" s="301"/>
      <c r="AY46" s="301"/>
      <c r="AZ46" s="301"/>
      <c r="BA46" s="301"/>
      <c r="BB46" s="301"/>
      <c r="BC46" s="301"/>
      <c r="BD46" s="301"/>
      <c r="BE46" s="301"/>
      <c r="BF46" s="301"/>
      <c r="CC46" s="693"/>
      <c r="CD46" s="727"/>
      <c r="CE46" s="752"/>
      <c r="CF46" s="753"/>
      <c r="CG46" s="753"/>
      <c r="CH46" s="753"/>
      <c r="CI46" s="753"/>
      <c r="CJ46" s="753"/>
      <c r="CK46" s="753"/>
      <c r="CL46" s="753"/>
      <c r="CM46" s="753"/>
      <c r="CN46" s="753"/>
      <c r="CO46" s="753"/>
      <c r="CP46" s="753"/>
      <c r="CQ46" s="753"/>
      <c r="CR46" s="753"/>
      <c r="CS46" s="753"/>
      <c r="CT46" s="754"/>
    </row>
    <row r="47" spans="2:119" ht="13.5" customHeight="1" thickBot="1">
      <c r="B47" s="300"/>
      <c r="C47" s="300"/>
      <c r="D47" s="300"/>
      <c r="E47" s="300"/>
      <c r="F47" s="300"/>
      <c r="G47" s="300"/>
      <c r="H47" s="300"/>
      <c r="I47" s="300"/>
      <c r="J47" s="300"/>
      <c r="M47" s="758"/>
      <c r="N47" s="758"/>
      <c r="O47" s="758"/>
      <c r="P47" s="758"/>
      <c r="R47" s="758"/>
      <c r="S47" s="758"/>
      <c r="T47" s="758"/>
      <c r="U47" s="758"/>
      <c r="X47" s="771"/>
      <c r="Y47" s="760"/>
      <c r="Z47" s="761"/>
      <c r="AA47" s="761"/>
      <c r="AB47" s="761"/>
      <c r="AC47" s="761"/>
      <c r="AD47" s="761"/>
      <c r="AE47" s="761"/>
      <c r="AF47" s="761"/>
      <c r="AG47" s="761"/>
      <c r="AH47" s="761"/>
      <c r="AI47" s="761"/>
      <c r="AJ47" s="761"/>
      <c r="AK47" s="761"/>
      <c r="AL47" s="761"/>
      <c r="AO47" s="281"/>
      <c r="AP47" s="281"/>
      <c r="AQ47" s="281"/>
      <c r="AR47" s="281"/>
      <c r="AS47" s="281"/>
      <c r="AT47" s="281"/>
      <c r="AU47" s="281"/>
      <c r="AV47" s="281"/>
      <c r="AW47" s="281"/>
      <c r="AX47" s="281"/>
      <c r="AY47" s="281"/>
      <c r="AZ47" s="281"/>
      <c r="BA47" s="281"/>
      <c r="BB47" s="281"/>
      <c r="BC47" s="281"/>
      <c r="BD47" s="281"/>
      <c r="BE47" s="281"/>
      <c r="BF47" s="281"/>
      <c r="CC47" s="693"/>
      <c r="CD47" s="727"/>
      <c r="CE47" s="752"/>
      <c r="CF47" s="753"/>
      <c r="CG47" s="753"/>
      <c r="CH47" s="753"/>
      <c r="CI47" s="753"/>
      <c r="CJ47" s="753"/>
      <c r="CK47" s="753"/>
      <c r="CL47" s="753"/>
      <c r="CM47" s="753"/>
      <c r="CN47" s="753"/>
      <c r="CO47" s="753"/>
      <c r="CP47" s="753"/>
      <c r="CQ47" s="753"/>
      <c r="CR47" s="753"/>
      <c r="CS47" s="753"/>
      <c r="CT47" s="754"/>
    </row>
    <row r="48" spans="2:119" ht="13.5" customHeight="1" thickBot="1">
      <c r="B48" s="300"/>
      <c r="C48" s="300"/>
      <c r="D48" s="300"/>
      <c r="E48" s="300"/>
      <c r="F48" s="300"/>
      <c r="G48" s="300"/>
      <c r="H48" s="300"/>
      <c r="I48" s="300"/>
      <c r="J48" s="300"/>
      <c r="M48" s="758"/>
      <c r="N48" s="758"/>
      <c r="O48" s="758"/>
      <c r="P48" s="758"/>
      <c r="R48" s="758"/>
      <c r="S48" s="758"/>
      <c r="T48" s="758"/>
      <c r="U48" s="758"/>
      <c r="X48" s="759" t="s">
        <v>160</v>
      </c>
      <c r="Y48" s="760">
        <f>'측정자 입력파일'!AA48</f>
        <v>10</v>
      </c>
      <c r="Z48" s="761" t="str">
        <f>'측정자 입력파일'!AD48</f>
        <v>과정의 혁신(5점), 혁신의 결과(5점)로 총 10점 획득함. 혁신활동이 우수하게 평가되었으나, 지속적인 성과 관리와 기록 체계 마련 필요.</v>
      </c>
      <c r="AA48" s="761"/>
      <c r="AB48" s="761"/>
      <c r="AC48" s="761"/>
      <c r="AD48" s="761"/>
      <c r="AE48" s="761"/>
      <c r="AF48" s="761"/>
      <c r="AG48" s="761"/>
      <c r="AH48" s="761"/>
      <c r="AI48" s="761"/>
      <c r="AJ48" s="761"/>
      <c r="AK48" s="761"/>
      <c r="AL48" s="761"/>
      <c r="AO48" s="281"/>
      <c r="AP48" s="281"/>
      <c r="AQ48" s="281"/>
      <c r="AR48" s="281"/>
      <c r="AS48" s="281"/>
      <c r="AT48" s="281"/>
      <c r="AU48" s="281"/>
      <c r="AV48" s="281"/>
      <c r="AW48" s="281"/>
      <c r="AX48" s="281"/>
      <c r="AY48" s="281"/>
      <c r="AZ48" s="281"/>
      <c r="BA48" s="281"/>
      <c r="BB48" s="281"/>
      <c r="BC48" s="281"/>
      <c r="BD48" s="281"/>
      <c r="BE48" s="281"/>
      <c r="BF48" s="281"/>
      <c r="BI48" s="687" t="s">
        <v>120</v>
      </c>
      <c r="BJ48" s="688"/>
      <c r="BK48" s="360" t="s">
        <v>424</v>
      </c>
      <c r="BL48" s="361"/>
      <c r="BM48" s="361"/>
      <c r="BN48" s="361"/>
      <c r="BO48" s="361"/>
      <c r="BP48" s="361"/>
      <c r="BQ48" s="361"/>
      <c r="BR48" s="361"/>
      <c r="BS48" s="361"/>
      <c r="BT48" s="361"/>
      <c r="BU48" s="361"/>
      <c r="BV48" s="361"/>
      <c r="BW48" s="361"/>
      <c r="BX48" s="369"/>
      <c r="BY48" s="11">
        <f>'측정자 입력파일'!AA23</f>
        <v>5</v>
      </c>
      <c r="BZ48" s="12"/>
      <c r="CC48" s="695"/>
      <c r="CD48" s="728"/>
      <c r="CE48" s="755"/>
      <c r="CF48" s="756"/>
      <c r="CG48" s="756"/>
      <c r="CH48" s="756"/>
      <c r="CI48" s="756"/>
      <c r="CJ48" s="756"/>
      <c r="CK48" s="756"/>
      <c r="CL48" s="756"/>
      <c r="CM48" s="756"/>
      <c r="CN48" s="756"/>
      <c r="CO48" s="756"/>
      <c r="CP48" s="756"/>
      <c r="CQ48" s="756"/>
      <c r="CR48" s="756"/>
      <c r="CS48" s="756"/>
      <c r="CT48" s="757"/>
    </row>
    <row r="49" spans="2:119" ht="13.5" customHeight="1">
      <c r="B49" s="300"/>
      <c r="C49" s="300"/>
      <c r="D49" s="300"/>
      <c r="E49" s="300"/>
      <c r="F49" s="300"/>
      <c r="G49" s="300"/>
      <c r="H49" s="300"/>
      <c r="I49" s="300"/>
      <c r="J49" s="300"/>
      <c r="M49" s="758"/>
      <c r="N49" s="758"/>
      <c r="O49" s="758"/>
      <c r="P49" s="758"/>
      <c r="R49" s="758"/>
      <c r="S49" s="758"/>
      <c r="T49" s="758"/>
      <c r="U49" s="758"/>
      <c r="X49" s="759"/>
      <c r="Y49" s="760"/>
      <c r="Z49" s="761"/>
      <c r="AA49" s="761"/>
      <c r="AB49" s="761"/>
      <c r="AC49" s="761"/>
      <c r="AD49" s="761"/>
      <c r="AE49" s="761"/>
      <c r="AF49" s="761"/>
      <c r="AG49" s="761"/>
      <c r="AH49" s="761"/>
      <c r="AI49" s="761"/>
      <c r="AJ49" s="761"/>
      <c r="AK49" s="761"/>
      <c r="AL49" s="761"/>
      <c r="BI49" s="745"/>
      <c r="BJ49" s="746"/>
      <c r="BK49" s="39" t="s">
        <v>425</v>
      </c>
      <c r="BL49" s="13"/>
      <c r="BM49" s="13"/>
      <c r="BN49" s="13"/>
      <c r="BO49" s="13"/>
      <c r="BP49" s="13"/>
      <c r="BQ49" s="13"/>
      <c r="BR49" s="13"/>
      <c r="BS49" s="13"/>
      <c r="BT49" s="13"/>
      <c r="BU49" s="13"/>
      <c r="BV49" s="13"/>
      <c r="BW49" s="13"/>
      <c r="BX49" s="13"/>
      <c r="BY49" s="324">
        <f>'측정자 입력파일'!Y23</f>
        <v>11</v>
      </c>
      <c r="BZ49" s="370"/>
    </row>
    <row r="50" spans="2:119" ht="13.5" customHeight="1">
      <c r="B50" s="300"/>
      <c r="C50" s="300"/>
      <c r="D50" s="300"/>
      <c r="E50" s="300"/>
      <c r="F50" s="300"/>
      <c r="G50" s="300"/>
      <c r="H50" s="300"/>
      <c r="I50" s="300"/>
      <c r="J50" s="300"/>
      <c r="M50" s="758"/>
      <c r="N50" s="758"/>
      <c r="O50" s="758"/>
      <c r="P50" s="758"/>
      <c r="R50" s="758"/>
      <c r="S50" s="758"/>
      <c r="T50" s="758"/>
      <c r="U50" s="758"/>
      <c r="X50" s="759"/>
      <c r="Y50" s="760"/>
      <c r="Z50" s="761"/>
      <c r="AA50" s="761"/>
      <c r="AB50" s="761"/>
      <c r="AC50" s="761"/>
      <c r="AD50" s="761"/>
      <c r="AE50" s="761"/>
      <c r="AF50" s="761"/>
      <c r="AG50" s="761"/>
      <c r="AH50" s="761"/>
      <c r="AI50" s="761"/>
      <c r="AJ50" s="761"/>
      <c r="AK50" s="761"/>
      <c r="AL50" s="761"/>
      <c r="BI50" s="691" t="s">
        <v>76</v>
      </c>
      <c r="BJ50" s="726"/>
      <c r="BK50" s="762"/>
      <c r="BL50" s="763"/>
      <c r="BM50" s="763"/>
      <c r="BN50" s="763"/>
      <c r="BO50" s="763"/>
      <c r="BP50" s="763"/>
      <c r="BQ50" s="763"/>
      <c r="BR50" s="763"/>
      <c r="BS50" s="763"/>
      <c r="BT50" s="763"/>
      <c r="BU50" s="763"/>
      <c r="BV50" s="763"/>
      <c r="BW50" s="763"/>
      <c r="BX50" s="763"/>
      <c r="BY50" s="763"/>
      <c r="BZ50" s="764"/>
    </row>
    <row r="51" spans="2:119" ht="13.5" customHeight="1">
      <c r="B51" s="300"/>
      <c r="C51" s="300"/>
      <c r="D51" s="300"/>
      <c r="E51" s="300"/>
      <c r="F51" s="300"/>
      <c r="G51" s="300"/>
      <c r="H51" s="300"/>
      <c r="I51" s="300"/>
      <c r="J51" s="300"/>
      <c r="M51" s="758"/>
      <c r="N51" s="758"/>
      <c r="O51" s="758"/>
      <c r="P51" s="758"/>
      <c r="R51" s="758"/>
      <c r="S51" s="758"/>
      <c r="T51" s="758"/>
      <c r="U51" s="758"/>
      <c r="X51" s="759"/>
      <c r="Y51" s="760"/>
      <c r="Z51" s="761"/>
      <c r="AA51" s="761"/>
      <c r="AB51" s="761"/>
      <c r="AC51" s="761"/>
      <c r="AD51" s="761"/>
      <c r="AE51" s="761"/>
      <c r="AF51" s="761"/>
      <c r="AG51" s="761"/>
      <c r="AH51" s="761"/>
      <c r="AI51" s="761"/>
      <c r="AJ51" s="761"/>
      <c r="AK51" s="761"/>
      <c r="AL51" s="761"/>
      <c r="BI51" s="693"/>
      <c r="BJ51" s="727"/>
      <c r="BK51" s="765"/>
      <c r="BL51" s="766"/>
      <c r="BM51" s="766"/>
      <c r="BN51" s="766"/>
      <c r="BO51" s="766"/>
      <c r="BP51" s="766"/>
      <c r="BQ51" s="766"/>
      <c r="BR51" s="766"/>
      <c r="BS51" s="766"/>
      <c r="BT51" s="766"/>
      <c r="BU51" s="766"/>
      <c r="BV51" s="766"/>
      <c r="BW51" s="766"/>
      <c r="BX51" s="766"/>
      <c r="BY51" s="766"/>
      <c r="BZ51" s="767"/>
    </row>
    <row r="52" spans="2:119" ht="12.75" customHeight="1">
      <c r="B52" s="300"/>
      <c r="C52" s="300"/>
      <c r="D52" s="300"/>
      <c r="E52" s="300"/>
      <c r="F52" s="300"/>
      <c r="G52" s="300"/>
      <c r="H52" s="300"/>
      <c r="I52" s="300"/>
      <c r="J52" s="300"/>
      <c r="M52" s="758"/>
      <c r="N52" s="758"/>
      <c r="O52" s="758"/>
      <c r="P52" s="758"/>
      <c r="R52" s="758"/>
      <c r="S52" s="758"/>
      <c r="T52" s="758"/>
      <c r="U52" s="758"/>
      <c r="X52" s="759"/>
      <c r="Y52" s="760"/>
      <c r="Z52" s="761"/>
      <c r="AA52" s="761"/>
      <c r="AB52" s="761"/>
      <c r="AC52" s="761"/>
      <c r="AD52" s="761"/>
      <c r="AE52" s="761"/>
      <c r="AF52" s="761"/>
      <c r="AG52" s="761"/>
      <c r="AH52" s="761"/>
      <c r="AI52" s="761"/>
      <c r="AJ52" s="761"/>
      <c r="AK52" s="761"/>
      <c r="AL52" s="761"/>
      <c r="BI52" s="693"/>
      <c r="BJ52" s="727"/>
      <c r="BK52" s="765"/>
      <c r="BL52" s="766"/>
      <c r="BM52" s="766"/>
      <c r="BN52" s="766"/>
      <c r="BO52" s="766"/>
      <c r="BP52" s="766"/>
      <c r="BQ52" s="766"/>
      <c r="BR52" s="766"/>
      <c r="BS52" s="766"/>
      <c r="BT52" s="766"/>
      <c r="BU52" s="766"/>
      <c r="BV52" s="766"/>
      <c r="BW52" s="766"/>
      <c r="BX52" s="766"/>
      <c r="BY52" s="766"/>
      <c r="BZ52" s="767"/>
    </row>
    <row r="53" spans="2:119" ht="12.75" customHeight="1" thickBot="1">
      <c r="B53" s="300"/>
      <c r="C53" s="300"/>
      <c r="D53" s="300"/>
      <c r="E53" s="300"/>
      <c r="F53" s="300"/>
      <c r="G53" s="300"/>
      <c r="H53" s="300"/>
      <c r="I53" s="300"/>
      <c r="J53" s="300"/>
      <c r="M53" s="758"/>
      <c r="N53" s="758"/>
      <c r="O53" s="758"/>
      <c r="P53" s="758"/>
      <c r="R53" s="758"/>
      <c r="S53" s="758"/>
      <c r="T53" s="758"/>
      <c r="U53" s="758"/>
      <c r="BI53" s="695"/>
      <c r="BJ53" s="728"/>
      <c r="BK53" s="768"/>
      <c r="BL53" s="769"/>
      <c r="BM53" s="769"/>
      <c r="BN53" s="769"/>
      <c r="BO53" s="769"/>
      <c r="BP53" s="769"/>
      <c r="BQ53" s="769"/>
      <c r="BR53" s="769"/>
      <c r="BS53" s="769"/>
      <c r="BT53" s="769"/>
      <c r="BU53" s="769"/>
      <c r="BV53" s="769"/>
      <c r="BW53" s="769"/>
      <c r="BX53" s="769"/>
      <c r="BY53" s="769"/>
      <c r="BZ53" s="770"/>
    </row>
    <row r="59" spans="2:119">
      <c r="CX59"/>
      <c r="CY59"/>
      <c r="CZ59"/>
      <c r="DA59"/>
      <c r="DB59"/>
      <c r="DC59"/>
      <c r="DD59"/>
      <c r="DE59"/>
      <c r="DF59"/>
      <c r="DG59"/>
      <c r="DH59"/>
      <c r="DI59"/>
      <c r="DJ59"/>
      <c r="DK59"/>
      <c r="DL59"/>
      <c r="DM59"/>
      <c r="DN59"/>
      <c r="DO59"/>
    </row>
    <row r="60" spans="2:119">
      <c r="CX60"/>
      <c r="CY60"/>
      <c r="CZ60"/>
      <c r="DA60"/>
      <c r="DB60"/>
      <c r="DC60"/>
      <c r="DD60"/>
      <c r="DE60"/>
      <c r="DF60"/>
      <c r="DG60"/>
      <c r="DH60"/>
      <c r="DI60"/>
      <c r="DJ60"/>
      <c r="DK60"/>
      <c r="DL60"/>
      <c r="DM60"/>
      <c r="DN60"/>
      <c r="DO60"/>
    </row>
    <row r="61" spans="2:119">
      <c r="CX61"/>
      <c r="CY61"/>
      <c r="CZ61"/>
      <c r="DA61"/>
      <c r="DB61"/>
      <c r="DC61"/>
      <c r="DD61"/>
      <c r="DE61"/>
      <c r="DF61"/>
      <c r="DG61"/>
      <c r="DH61"/>
      <c r="DI61"/>
      <c r="DJ61"/>
      <c r="DK61"/>
      <c r="DL61"/>
      <c r="DM61"/>
      <c r="DN61"/>
      <c r="DO61"/>
    </row>
    <row r="62" spans="2:119">
      <c r="CX62"/>
      <c r="CY62"/>
      <c r="CZ62"/>
      <c r="DA62"/>
      <c r="DB62"/>
      <c r="DC62"/>
      <c r="DD62"/>
      <c r="DE62"/>
      <c r="DF62"/>
      <c r="DG62"/>
      <c r="DH62"/>
      <c r="DI62"/>
      <c r="DJ62"/>
      <c r="DK62"/>
      <c r="DL62"/>
      <c r="DM62"/>
      <c r="DN62"/>
      <c r="DO62"/>
    </row>
    <row r="63" spans="2:119">
      <c r="CX63"/>
      <c r="CY63"/>
      <c r="CZ63"/>
      <c r="DA63"/>
      <c r="DB63"/>
      <c r="DC63"/>
      <c r="DD63"/>
      <c r="DE63"/>
      <c r="DF63"/>
      <c r="DG63"/>
      <c r="DH63"/>
      <c r="DI63"/>
      <c r="DJ63"/>
      <c r="DK63"/>
      <c r="DL63"/>
      <c r="DM63"/>
      <c r="DN63"/>
      <c r="DO63"/>
    </row>
    <row r="64" spans="2:119">
      <c r="CX64"/>
      <c r="CY64"/>
      <c r="CZ64"/>
      <c r="DA64"/>
      <c r="DB64"/>
      <c r="DC64"/>
      <c r="DD64"/>
      <c r="DE64"/>
      <c r="DF64"/>
      <c r="DG64"/>
      <c r="DH64"/>
      <c r="DI64"/>
      <c r="DJ64"/>
      <c r="DK64"/>
      <c r="DL64"/>
      <c r="DM64"/>
      <c r="DN64"/>
      <c r="DO64"/>
    </row>
    <row r="65" spans="102:119">
      <c r="CX65"/>
      <c r="CY65"/>
      <c r="CZ65"/>
      <c r="DA65"/>
      <c r="DB65"/>
      <c r="DC65"/>
      <c r="DD65"/>
      <c r="DE65"/>
      <c r="DF65"/>
      <c r="DG65"/>
      <c r="DH65"/>
      <c r="DI65"/>
      <c r="DJ65"/>
      <c r="DK65"/>
      <c r="DL65"/>
      <c r="DM65"/>
      <c r="DN65"/>
      <c r="DO65"/>
    </row>
    <row r="66" spans="102:119">
      <c r="CX66"/>
      <c r="CY66"/>
      <c r="CZ66"/>
      <c r="DA66"/>
      <c r="DB66"/>
      <c r="DC66"/>
      <c r="DD66"/>
      <c r="DE66"/>
      <c r="DF66"/>
      <c r="DG66"/>
      <c r="DH66"/>
      <c r="DI66"/>
      <c r="DJ66"/>
      <c r="DK66"/>
      <c r="DL66"/>
      <c r="DM66"/>
      <c r="DN66"/>
      <c r="DO66"/>
    </row>
  </sheetData>
  <sheetProtection formatCells="0" formatColumns="0" formatRows="0" insertColumns="0" insertRows="0" insertHyperlinks="0" deleteColumns="0" deleteRows="0" sort="0" autoFilter="0" pivotTables="0"/>
  <mergeCells count="91">
    <mergeCell ref="B2:J26"/>
    <mergeCell ref="X5:X6"/>
    <mergeCell ref="Y5:Y6"/>
    <mergeCell ref="B27:J35"/>
    <mergeCell ref="X30:X32"/>
    <mergeCell ref="Y30:Y32"/>
    <mergeCell ref="Z5:AL6"/>
    <mergeCell ref="X7:X9"/>
    <mergeCell ref="Y7:Y9"/>
    <mergeCell ref="X24:X26"/>
    <mergeCell ref="Y24:Y26"/>
    <mergeCell ref="Z24:AL26"/>
    <mergeCell ref="X18:X20"/>
    <mergeCell ref="Y18:Y20"/>
    <mergeCell ref="Z18:AL20"/>
    <mergeCell ref="X21:X23"/>
    <mergeCell ref="Y21:Y23"/>
    <mergeCell ref="Z21:AL23"/>
    <mergeCell ref="Z7:AL9"/>
    <mergeCell ref="X10:X12"/>
    <mergeCell ref="Y10:Y12"/>
    <mergeCell ref="Z10:AL12"/>
    <mergeCell ref="X39:X41"/>
    <mergeCell ref="Y39:Y41"/>
    <mergeCell ref="Z39:AL41"/>
    <mergeCell ref="X13:X17"/>
    <mergeCell ref="Y13:Y17"/>
    <mergeCell ref="Z13:AL17"/>
    <mergeCell ref="X36:X38"/>
    <mergeCell ref="Y36:Y38"/>
    <mergeCell ref="Z36:AL38"/>
    <mergeCell ref="Z30:AL32"/>
    <mergeCell ref="X33:X35"/>
    <mergeCell ref="Y33:Y35"/>
    <mergeCell ref="Z33:AL35"/>
    <mergeCell ref="X27:X29"/>
    <mergeCell ref="Y27:Y29"/>
    <mergeCell ref="Z27:AL29"/>
    <mergeCell ref="BI5:BJ7"/>
    <mergeCell ref="CC5:CD13"/>
    <mergeCell ref="CW5:CX8"/>
    <mergeCell ref="BY6:BZ6"/>
    <mergeCell ref="CE6:CF8"/>
    <mergeCell ref="BY7:BZ7"/>
    <mergeCell ref="BI8:BJ11"/>
    <mergeCell ref="BK8:BZ11"/>
    <mergeCell ref="CE9:CF12"/>
    <mergeCell ref="CQ9:CT9"/>
    <mergeCell ref="CQ10:CT10"/>
    <mergeCell ref="CW10:CX13"/>
    <mergeCell ref="CR11:CT11"/>
    <mergeCell ref="BI14:BJ19"/>
    <mergeCell ref="CC14:CD18"/>
    <mergeCell ref="CE14:CT18"/>
    <mergeCell ref="CW15:CX18"/>
    <mergeCell ref="BI20:BJ24"/>
    <mergeCell ref="BK20:BZ24"/>
    <mergeCell ref="CW20:CX23"/>
    <mergeCell ref="CC21:CD23"/>
    <mergeCell ref="CC24:CD28"/>
    <mergeCell ref="CE24:CT28"/>
    <mergeCell ref="BI27:BJ31"/>
    <mergeCell ref="BK28:BL30"/>
    <mergeCell ref="CW28:CX30"/>
    <mergeCell ref="CC31:CD33"/>
    <mergeCell ref="CW31:CX35"/>
    <mergeCell ref="CY31:DN35"/>
    <mergeCell ref="BI32:BJ36"/>
    <mergeCell ref="BK32:BZ36"/>
    <mergeCell ref="CC34:CD38"/>
    <mergeCell ref="CE34:CT38"/>
    <mergeCell ref="BI39:BJ40"/>
    <mergeCell ref="BI41:BJ45"/>
    <mergeCell ref="BK41:BZ45"/>
    <mergeCell ref="CC41:CD43"/>
    <mergeCell ref="CC44:CD48"/>
    <mergeCell ref="CE44:CT48"/>
    <mergeCell ref="BI48:BJ49"/>
    <mergeCell ref="M42:P53"/>
    <mergeCell ref="R42:U53"/>
    <mergeCell ref="X48:X52"/>
    <mergeCell ref="Y48:Y52"/>
    <mergeCell ref="Z48:AL52"/>
    <mergeCell ref="BK50:BZ53"/>
    <mergeCell ref="BI50:BJ53"/>
    <mergeCell ref="X42:X44"/>
    <mergeCell ref="Y42:Y44"/>
    <mergeCell ref="Z42:AL44"/>
    <mergeCell ref="X45:X47"/>
    <mergeCell ref="Y45:Y47"/>
    <mergeCell ref="Z45:AL47"/>
  </mergeCells>
  <phoneticPr fontId="56" type="noConversion"/>
  <pageMargins left="0.7" right="0.7" top="0.75" bottom="0.75" header="0.3" footer="0.3"/>
  <pageSetup paperSize="9" orientation="portrait" r:id="rId1"/>
  <headerFooter>
    <oddHeader xml:space="preserve">&amp;C
</oddHeader>
  </headerFooter>
  <ignoredErrors>
    <ignoredError sqref="Z7:AL12 Z13 Z48 Z45 Z42 Z39 Z36 Z33 Z30 Z27 Z24 Z21 Z18" unlockedFormula="1"/>
  </ignoredErrors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BF5487-A679-43AD-9E49-6D4512F02591}">
  <sheetPr codeName="Sheet4"/>
  <dimension ref="B2:CQ50"/>
  <sheetViews>
    <sheetView topLeftCell="A18" zoomScale="70" zoomScaleNormal="70" workbookViewId="0">
      <selection activeCell="AA23" sqref="AA23"/>
    </sheetView>
  </sheetViews>
  <sheetFormatPr baseColWidth="10" defaultColWidth="9" defaultRowHeight="13"/>
  <cols>
    <col min="2" max="2" width="17" customWidth="1"/>
    <col min="3" max="3" width="4" customWidth="1"/>
    <col min="4" max="4" width="14.19921875" style="65" customWidth="1"/>
    <col min="5" max="11" width="5.3984375" customWidth="1"/>
    <col min="13" max="19" width="5.3984375" customWidth="1"/>
    <col min="22" max="45" width="4.59765625" customWidth="1"/>
    <col min="47" max="58" width="4.3984375" customWidth="1"/>
    <col min="59" max="70" width="4.19921875" customWidth="1"/>
    <col min="72" max="83" width="4.3984375" customWidth="1"/>
    <col min="84" max="95" width="4.19921875" customWidth="1"/>
  </cols>
  <sheetData>
    <row r="2" spans="2:19" ht="19.5" customHeight="1">
      <c r="B2" s="288" t="s">
        <v>372</v>
      </c>
      <c r="D2" s="287" t="s">
        <v>384</v>
      </c>
      <c r="E2" s="801" t="str">
        <f>'측정자 입력파일'!D5 &amp; "       (서명) "</f>
        <v xml:space="preserve">서일화       (서명) </v>
      </c>
      <c r="F2" s="802"/>
      <c r="G2" s="802"/>
      <c r="H2" s="802"/>
      <c r="I2" s="802"/>
      <c r="J2" s="802"/>
      <c r="K2" s="802"/>
      <c r="L2" s="802"/>
      <c r="M2" s="802"/>
      <c r="N2" s="802"/>
      <c r="O2" s="802"/>
      <c r="P2" s="802"/>
      <c r="Q2" s="802"/>
      <c r="R2" s="802"/>
      <c r="S2" s="803"/>
    </row>
    <row r="3" spans="2:19" ht="19.5" customHeight="1">
      <c r="B3" s="288"/>
      <c r="D3" s="287" t="s">
        <v>373</v>
      </c>
      <c r="E3" s="801" t="str">
        <f>'측정자 입력파일'!D6</f>
        <v>010-6614-6649</v>
      </c>
      <c r="F3" s="802"/>
      <c r="G3" s="802"/>
      <c r="H3" s="802"/>
      <c r="I3" s="802"/>
      <c r="J3" s="802"/>
      <c r="K3" s="803"/>
      <c r="L3" s="287" t="s">
        <v>374</v>
      </c>
      <c r="M3" s="801" t="str">
        <f>'측정자 입력파일'!D7</f>
        <v>seoih0706@gmail.com</v>
      </c>
      <c r="N3" s="802"/>
      <c r="O3" s="802"/>
      <c r="P3" s="802"/>
      <c r="Q3" s="802"/>
      <c r="R3" s="802"/>
      <c r="S3" s="803"/>
    </row>
    <row r="4" spans="2:19" ht="19.5" customHeight="1"/>
    <row r="5" spans="2:19" ht="19.5" customHeight="1">
      <c r="B5" s="288" t="s">
        <v>375</v>
      </c>
      <c r="D5" s="287" t="s">
        <v>379</v>
      </c>
      <c r="E5" s="804" t="str">
        <f>'측정자 입력파일'!D9</f>
        <v>갓피플주식회사</v>
      </c>
      <c r="F5" s="804"/>
      <c r="G5" s="804"/>
      <c r="H5" s="804"/>
      <c r="I5" s="804"/>
      <c r="J5" s="804"/>
      <c r="K5" s="804"/>
      <c r="L5" s="804"/>
      <c r="M5" s="804"/>
      <c r="N5" s="804"/>
      <c r="O5" s="804"/>
      <c r="P5" s="804"/>
      <c r="Q5" s="804"/>
      <c r="R5" s="804"/>
      <c r="S5" s="804"/>
    </row>
    <row r="6" spans="2:19" ht="19.5" customHeight="1">
      <c r="B6" s="288"/>
      <c r="D6" s="287" t="s">
        <v>376</v>
      </c>
      <c r="E6" s="804" t="str">
        <f>'측정자 입력파일'!D13</f>
        <v>박도선</v>
      </c>
      <c r="F6" s="804"/>
      <c r="G6" s="804"/>
      <c r="H6" s="804"/>
      <c r="I6" s="804"/>
      <c r="J6" s="804"/>
      <c r="K6" s="804"/>
      <c r="L6" s="287" t="s">
        <v>377</v>
      </c>
      <c r="M6" s="804" t="str">
        <f>'측정자 입력파일'!D14</f>
        <v>안호영</v>
      </c>
      <c r="N6" s="804"/>
      <c r="O6" s="804"/>
      <c r="P6" s="804"/>
      <c r="Q6" s="804"/>
      <c r="R6" s="804"/>
      <c r="S6" s="804"/>
    </row>
    <row r="7" spans="2:19" ht="19.5" customHeight="1">
      <c r="B7" s="288"/>
      <c r="D7" s="287" t="s">
        <v>373</v>
      </c>
      <c r="E7" s="804" t="str">
        <f>'측정자 입력파일'!D15</f>
        <v>031-944-0341</v>
      </c>
      <c r="F7" s="804"/>
      <c r="G7" s="804"/>
      <c r="H7" s="804"/>
      <c r="I7" s="804"/>
      <c r="J7" s="804"/>
      <c r="K7" s="804"/>
      <c r="L7" s="287" t="s">
        <v>374</v>
      </c>
      <c r="M7" s="804" t="str">
        <f>'측정자 입력파일'!D16</f>
        <v>milion@naver.com</v>
      </c>
      <c r="N7" s="804"/>
      <c r="O7" s="804"/>
      <c r="P7" s="804"/>
      <c r="Q7" s="804"/>
      <c r="R7" s="804"/>
      <c r="S7" s="804"/>
    </row>
    <row r="8" spans="2:19" ht="19.5" customHeight="1">
      <c r="B8" s="288"/>
      <c r="D8" s="287" t="s">
        <v>378</v>
      </c>
      <c r="E8" s="801" t="str">
        <f>"경기도 " &amp; '측정자 입력파일'!D17 &amp; " " &amp;'측정자 입력파일'!D18</f>
        <v>경기도 고양시 덕양구 호국로 787</v>
      </c>
      <c r="F8" s="802"/>
      <c r="G8" s="802"/>
      <c r="H8" s="802"/>
      <c r="I8" s="802"/>
      <c r="J8" s="802"/>
      <c r="K8" s="802"/>
      <c r="L8" s="802"/>
      <c r="M8" s="802"/>
      <c r="N8" s="802"/>
      <c r="O8" s="802"/>
      <c r="P8" s="802"/>
      <c r="Q8" s="802"/>
      <c r="R8" s="802"/>
      <c r="S8" s="803"/>
    </row>
    <row r="9" spans="2:19" ht="19.5" customHeight="1"/>
    <row r="10" spans="2:19" ht="19.5" customHeight="1">
      <c r="B10" s="288" t="s">
        <v>498</v>
      </c>
      <c r="D10" s="805" t="s">
        <v>380</v>
      </c>
      <c r="E10" s="813">
        <f>IF( '측정자 입력파일'!$B$24  = "","",'측정자 입력파일'!$B$24 )</f>
        <v>45779</v>
      </c>
      <c r="F10" s="814"/>
      <c r="G10" s="814"/>
      <c r="H10" s="814"/>
      <c r="I10" s="814"/>
      <c r="J10" s="808" t="str">
        <f xml:space="preserve"> IF(E10="","", "(" &amp; TEXT(E10,"aaa") &amp; ")")</f>
        <v>(금)</v>
      </c>
      <c r="K10" s="809"/>
      <c r="L10" s="287" t="s">
        <v>377</v>
      </c>
      <c r="M10" s="801" t="str">
        <f>'측정자 입력파일'!$D$24</f>
        <v>안호영</v>
      </c>
      <c r="N10" s="802"/>
      <c r="O10" s="802"/>
      <c r="P10" s="802"/>
      <c r="Q10" s="802"/>
      <c r="R10" s="802"/>
      <c r="S10" s="803"/>
    </row>
    <row r="11" spans="2:19" ht="19.5" customHeight="1">
      <c r="B11" s="288"/>
      <c r="D11" s="806"/>
      <c r="E11" s="815"/>
      <c r="F11" s="816"/>
      <c r="G11" s="816"/>
      <c r="H11" s="816"/>
      <c r="I11" s="816"/>
      <c r="J11" s="811"/>
      <c r="K11" s="812"/>
      <c r="L11" s="287" t="s">
        <v>383</v>
      </c>
      <c r="M11" s="801" t="str">
        <f>'측정자 입력파일'!$C$24</f>
        <v>유선</v>
      </c>
      <c r="N11" s="802"/>
      <c r="O11" s="802"/>
      <c r="P11" s="802"/>
      <c r="Q11" s="802"/>
      <c r="R11" s="802"/>
      <c r="S11" s="803"/>
    </row>
    <row r="12" spans="2:19" ht="19.5" customHeight="1">
      <c r="B12" s="288"/>
      <c r="D12" s="805" t="s">
        <v>381</v>
      </c>
      <c r="E12" s="813" t="str">
        <f>IF('측정자 입력파일'!$B$25 ="", "",'측정자 입력파일'!$B$25)</f>
        <v/>
      </c>
      <c r="F12" s="814"/>
      <c r="G12" s="814"/>
      <c r="H12" s="814"/>
      <c r="I12" s="814"/>
      <c r="J12" s="808" t="str">
        <f>IF(E12="","", "(" &amp; TEXT(E12,"aaa") &amp; ")")</f>
        <v/>
      </c>
      <c r="K12" s="809"/>
      <c r="L12" s="287" t="s">
        <v>377</v>
      </c>
      <c r="M12" s="804" t="str">
        <f>IF('측정자 입력파일'!$B$25="", "",'측정자 입력파일'!$D$25)</f>
        <v/>
      </c>
      <c r="N12" s="804"/>
      <c r="O12" s="804"/>
      <c r="P12" s="804"/>
      <c r="Q12" s="804"/>
      <c r="R12" s="804"/>
      <c r="S12" s="804"/>
    </row>
    <row r="13" spans="2:19" ht="19.5" customHeight="1">
      <c r="B13" s="288"/>
      <c r="D13" s="806"/>
      <c r="E13" s="815"/>
      <c r="F13" s="816"/>
      <c r="G13" s="816"/>
      <c r="H13" s="816"/>
      <c r="I13" s="816"/>
      <c r="J13" s="811"/>
      <c r="K13" s="812"/>
      <c r="L13" s="287" t="s">
        <v>383</v>
      </c>
      <c r="M13" s="801" t="str">
        <f>IF('측정자 입력파일'!$B$25="", "",'측정자 입력파일'!$C$25)</f>
        <v/>
      </c>
      <c r="N13" s="802"/>
      <c r="O13" s="802"/>
      <c r="P13" s="802"/>
      <c r="Q13" s="802"/>
      <c r="R13" s="802"/>
      <c r="S13" s="803"/>
    </row>
    <row r="14" spans="2:19" ht="19.5" customHeight="1">
      <c r="B14" s="288"/>
      <c r="D14" s="805" t="s">
        <v>382</v>
      </c>
      <c r="E14" s="813" t="str">
        <f>IF('측정자 입력파일'!B26="","",'측정자 입력파일'!B26)</f>
        <v/>
      </c>
      <c r="F14" s="814"/>
      <c r="G14" s="814"/>
      <c r="H14" s="814"/>
      <c r="I14" s="814"/>
      <c r="J14" s="808" t="str">
        <f>IF(E14="","", "(" &amp; TEXT(E14,"aaa") &amp; ")")</f>
        <v/>
      </c>
      <c r="K14" s="809"/>
      <c r="L14" s="287" t="s">
        <v>377</v>
      </c>
      <c r="M14" s="804" t="str">
        <f>IF('측정자 입력파일'!B26="", "",'측정자 입력파일'!D26)</f>
        <v/>
      </c>
      <c r="N14" s="804"/>
      <c r="O14" s="804"/>
      <c r="P14" s="804"/>
      <c r="Q14" s="804"/>
      <c r="R14" s="804"/>
      <c r="S14" s="804"/>
    </row>
    <row r="15" spans="2:19" ht="19.5" customHeight="1">
      <c r="B15" s="288"/>
      <c r="D15" s="806"/>
      <c r="E15" s="815"/>
      <c r="F15" s="816"/>
      <c r="G15" s="816"/>
      <c r="H15" s="816"/>
      <c r="I15" s="816"/>
      <c r="J15" s="811"/>
      <c r="K15" s="812"/>
      <c r="L15" s="287" t="s">
        <v>383</v>
      </c>
      <c r="M15" s="801" t="str">
        <f>IF('측정자 입력파일'!$B$26="", "",'측정자 입력파일'!$C$26)</f>
        <v/>
      </c>
      <c r="N15" s="802"/>
      <c r="O15" s="802"/>
      <c r="P15" s="802"/>
      <c r="Q15" s="802"/>
      <c r="R15" s="802"/>
      <c r="S15" s="803"/>
    </row>
    <row r="16" spans="2:19" ht="19.5" customHeight="1">
      <c r="B16" s="424"/>
      <c r="D16" s="425"/>
      <c r="E16" s="426"/>
      <c r="F16" s="426"/>
      <c r="G16" s="426"/>
      <c r="H16" s="426"/>
      <c r="I16" s="426"/>
      <c r="J16" s="427"/>
      <c r="K16" s="427"/>
      <c r="L16" s="425"/>
      <c r="M16" s="428"/>
      <c r="N16" s="428"/>
      <c r="O16" s="428"/>
      <c r="P16" s="428"/>
      <c r="Q16" s="428"/>
      <c r="R16" s="428"/>
      <c r="S16" s="428"/>
    </row>
    <row r="17" spans="2:72" ht="19.5" customHeight="1">
      <c r="B17" s="288" t="s">
        <v>497</v>
      </c>
      <c r="D17" s="805" t="s">
        <v>380</v>
      </c>
      <c r="E17" s="813">
        <f>IF( '측정자 입력파일'!$B$24  = "","",'측정자 입력파일'!$B$24 )</f>
        <v>45779</v>
      </c>
      <c r="F17" s="814"/>
      <c r="G17" s="814"/>
      <c r="H17" s="814"/>
      <c r="I17" s="814"/>
      <c r="J17" s="808" t="str">
        <f xml:space="preserve"> IF(E17="","", "(" &amp; TEXT(E17,"aaa") &amp; ")")</f>
        <v>(금)</v>
      </c>
      <c r="K17" s="809"/>
      <c r="L17" s="287" t="s">
        <v>377</v>
      </c>
      <c r="M17" s="801" t="str">
        <f>'측정자 입력파일'!$D$24</f>
        <v>안호영</v>
      </c>
      <c r="N17" s="802"/>
      <c r="O17" s="802"/>
      <c r="P17" s="802"/>
      <c r="Q17" s="802"/>
      <c r="R17" s="802"/>
      <c r="S17" s="803"/>
    </row>
    <row r="18" spans="2:72" ht="19.5" customHeight="1">
      <c r="B18" s="288"/>
      <c r="D18" s="806"/>
      <c r="E18" s="815"/>
      <c r="F18" s="816"/>
      <c r="G18" s="816"/>
      <c r="H18" s="816"/>
      <c r="I18" s="816"/>
      <c r="J18" s="811"/>
      <c r="K18" s="812"/>
      <c r="L18" s="287" t="s">
        <v>383</v>
      </c>
      <c r="M18" s="801" t="str">
        <f>'측정자 입력파일'!$C$24</f>
        <v>유선</v>
      </c>
      <c r="N18" s="802"/>
      <c r="O18" s="802"/>
      <c r="P18" s="802"/>
      <c r="Q18" s="802"/>
      <c r="R18" s="802"/>
      <c r="S18" s="803"/>
    </row>
    <row r="19" spans="2:72" ht="19.5" customHeight="1">
      <c r="B19" s="288"/>
      <c r="D19" s="805" t="s">
        <v>381</v>
      </c>
      <c r="E19" s="813" t="str">
        <f>IF('측정자 입력파일'!$B$25 ="", "",'측정자 입력파일'!$B$25)</f>
        <v/>
      </c>
      <c r="F19" s="814"/>
      <c r="G19" s="814"/>
      <c r="H19" s="814"/>
      <c r="I19" s="814"/>
      <c r="J19" s="808" t="str">
        <f>IF(E19="","", "(" &amp; TEXT(E19,"aaa") &amp; ")")</f>
        <v/>
      </c>
      <c r="K19" s="809"/>
      <c r="L19" s="287" t="s">
        <v>377</v>
      </c>
      <c r="M19" s="804" t="str">
        <f>IF('측정자 입력파일'!$B$25="", "",'측정자 입력파일'!$D$25)</f>
        <v/>
      </c>
      <c r="N19" s="804"/>
      <c r="O19" s="804"/>
      <c r="P19" s="804"/>
      <c r="Q19" s="804"/>
      <c r="R19" s="804"/>
      <c r="S19" s="804"/>
    </row>
    <row r="20" spans="2:72" ht="19.5" customHeight="1">
      <c r="B20" s="288"/>
      <c r="D20" s="806"/>
      <c r="E20" s="815"/>
      <c r="F20" s="816"/>
      <c r="G20" s="816"/>
      <c r="H20" s="816"/>
      <c r="I20" s="816"/>
      <c r="J20" s="811"/>
      <c r="K20" s="812"/>
      <c r="L20" s="287" t="s">
        <v>383</v>
      </c>
      <c r="M20" s="801" t="str">
        <f>IF('측정자 입력파일'!$B$25="", "",'측정자 입력파일'!$C$25)</f>
        <v/>
      </c>
      <c r="N20" s="802"/>
      <c r="O20" s="802"/>
      <c r="P20" s="802"/>
      <c r="Q20" s="802"/>
      <c r="R20" s="802"/>
      <c r="S20" s="803"/>
    </row>
    <row r="21" spans="2:72" ht="19.5" customHeight="1"/>
    <row r="22" spans="2:72" ht="42" customHeight="1">
      <c r="B22" s="289" t="s">
        <v>385</v>
      </c>
      <c r="D22" s="805" t="s">
        <v>386</v>
      </c>
      <c r="E22" s="807" t="s">
        <v>406</v>
      </c>
      <c r="F22" s="808"/>
      <c r="G22" s="808"/>
      <c r="H22" s="808"/>
      <c r="I22" s="808"/>
      <c r="J22" s="808"/>
      <c r="K22" s="808"/>
      <c r="L22" s="808"/>
      <c r="M22" s="808"/>
      <c r="N22" s="808"/>
      <c r="O22" s="808"/>
      <c r="P22" s="808"/>
      <c r="Q22" s="808"/>
      <c r="R22" s="808"/>
      <c r="S22" s="809"/>
    </row>
    <row r="23" spans="2:72" ht="42" customHeight="1">
      <c r="B23" s="290"/>
      <c r="D23" s="806"/>
      <c r="E23" s="810"/>
      <c r="F23" s="811"/>
      <c r="G23" s="811"/>
      <c r="H23" s="811"/>
      <c r="I23" s="811"/>
      <c r="J23" s="811"/>
      <c r="K23" s="811"/>
      <c r="L23" s="811"/>
      <c r="M23" s="811"/>
      <c r="N23" s="811"/>
      <c r="O23" s="811"/>
      <c r="P23" s="811"/>
      <c r="Q23" s="811"/>
      <c r="R23" s="811"/>
      <c r="S23" s="812"/>
    </row>
    <row r="24" spans="2:72" ht="19.5" customHeight="1"/>
    <row r="25" spans="2:72" ht="32.25" customHeight="1">
      <c r="B25" s="288" t="s">
        <v>409</v>
      </c>
      <c r="C25" s="554" t="s">
        <v>518</v>
      </c>
      <c r="D25" s="287" t="s">
        <v>409</v>
      </c>
      <c r="E25" s="818">
        <f>'측정자 입력파일'!AA51</f>
        <v>90.1</v>
      </c>
      <c r="F25" s="819"/>
      <c r="G25" s="819"/>
      <c r="H25" s="819"/>
      <c r="I25" s="819"/>
      <c r="J25" s="820"/>
      <c r="K25" s="817" t="s">
        <v>410</v>
      </c>
      <c r="L25" s="817"/>
      <c r="M25" s="818" t="str">
        <f>'측정자 입력파일'!Z51</f>
        <v>탁월</v>
      </c>
      <c r="N25" s="819"/>
      <c r="O25" s="819"/>
      <c r="P25" s="819"/>
      <c r="Q25" s="819"/>
      <c r="R25" s="819"/>
      <c r="S25" s="820"/>
    </row>
    <row r="27" spans="2:72" ht="32.25" customHeight="1">
      <c r="C27" s="387" t="s">
        <v>521</v>
      </c>
      <c r="D27" s="287" t="s">
        <v>409</v>
      </c>
      <c r="E27" s="818">
        <f>'측정자 입력파일'!U51</f>
        <v>0</v>
      </c>
      <c r="F27" s="819"/>
      <c r="G27" s="819"/>
      <c r="H27" s="819"/>
      <c r="I27" s="819"/>
      <c r="J27" s="820"/>
      <c r="K27" s="817" t="s">
        <v>410</v>
      </c>
      <c r="L27" s="817"/>
      <c r="M27" s="818" t="str">
        <f>'측정자 입력파일'!T51</f>
        <v>취약</v>
      </c>
      <c r="N27" s="819"/>
      <c r="O27" s="819"/>
      <c r="P27" s="819"/>
      <c r="Q27" s="819"/>
      <c r="R27" s="819"/>
      <c r="S27" s="820"/>
      <c r="V27" s="821" t="s">
        <v>61</v>
      </c>
      <c r="W27" s="822"/>
      <c r="X27" s="822"/>
      <c r="Y27" s="822"/>
      <c r="Z27" s="823"/>
      <c r="AA27" s="830" t="str">
        <f>'측정자 입력파일'!D9</f>
        <v>갓피플주식회사</v>
      </c>
      <c r="AB27" s="831"/>
      <c r="AC27" s="831"/>
      <c r="AD27" s="831"/>
      <c r="AE27" s="831"/>
      <c r="AF27" s="831"/>
      <c r="AG27" s="832"/>
      <c r="AH27" s="821" t="s">
        <v>62</v>
      </c>
      <c r="AI27" s="822"/>
      <c r="AJ27" s="822"/>
      <c r="AK27" s="822"/>
      <c r="AL27" s="823"/>
      <c r="AM27" s="833" t="str">
        <f>'측정자 입력파일'!D13</f>
        <v>박도선</v>
      </c>
      <c r="AN27" s="834"/>
      <c r="AO27" s="834"/>
      <c r="AP27" s="834"/>
      <c r="AQ27" s="834"/>
      <c r="AR27" s="834"/>
      <c r="AS27" s="835"/>
    </row>
    <row r="28" spans="2:72" ht="21.75" customHeight="1">
      <c r="V28" s="821" t="s">
        <v>68</v>
      </c>
      <c r="W28" s="822"/>
      <c r="X28" s="822"/>
      <c r="Y28" s="822"/>
      <c r="Z28" s="823"/>
      <c r="AA28" s="824" t="str">
        <f>'측정자 입력파일'!D19</f>
        <v>인증 사회적기업</v>
      </c>
      <c r="AB28" s="825"/>
      <c r="AC28" s="825"/>
      <c r="AD28" s="825"/>
      <c r="AE28" s="825"/>
      <c r="AF28" s="825"/>
      <c r="AG28" s="826"/>
      <c r="AH28" s="821" t="s">
        <v>69</v>
      </c>
      <c r="AI28" s="822"/>
      <c r="AJ28" s="822"/>
      <c r="AK28" s="822"/>
      <c r="AL28" s="823"/>
      <c r="AM28" s="836">
        <f>'측정자 입력파일'!D12</f>
        <v>2011</v>
      </c>
      <c r="AN28" s="837"/>
      <c r="AO28" s="837"/>
      <c r="AP28" s="837"/>
      <c r="AQ28" s="837"/>
      <c r="AR28" s="837"/>
      <c r="AS28" s="838"/>
    </row>
    <row r="29" spans="2:72" ht="32.25" customHeight="1">
      <c r="C29" s="387" t="s">
        <v>522</v>
      </c>
      <c r="D29" s="287" t="s">
        <v>409</v>
      </c>
      <c r="E29" s="818">
        <f>'측정자 입력파일'!W51</f>
        <v>0</v>
      </c>
      <c r="F29" s="819"/>
      <c r="G29" s="819"/>
      <c r="H29" s="819"/>
      <c r="I29" s="819"/>
      <c r="J29" s="820"/>
      <c r="K29" s="817" t="s">
        <v>410</v>
      </c>
      <c r="L29" s="817"/>
      <c r="M29" s="818" t="str">
        <f>'측정자 입력파일'!V51</f>
        <v>취약</v>
      </c>
      <c r="N29" s="819"/>
      <c r="O29" s="819"/>
      <c r="P29" s="819"/>
      <c r="Q29" s="819"/>
      <c r="R29" s="819"/>
      <c r="S29" s="820"/>
      <c r="V29" s="821" t="s">
        <v>74</v>
      </c>
      <c r="W29" s="822"/>
      <c r="X29" s="822"/>
      <c r="Y29" s="822"/>
      <c r="Z29" s="823"/>
      <c r="AA29" s="839" t="str">
        <f>'측정자 입력파일'!D20</f>
        <v>사업시설 관리, 사업 지원 및 임대 서비스업(N)</v>
      </c>
      <c r="AB29" s="840"/>
      <c r="AC29" s="840"/>
      <c r="AD29" s="840"/>
      <c r="AE29" s="840"/>
      <c r="AF29" s="840"/>
      <c r="AG29" s="841"/>
      <c r="AH29" s="821" t="s">
        <v>75</v>
      </c>
      <c r="AI29" s="822"/>
      <c r="AJ29" s="822"/>
      <c r="AK29" s="822"/>
      <c r="AL29" s="823"/>
      <c r="AM29" s="842" t="str">
        <f>'측정자 입력파일'!D10</f>
        <v>128-86-63141</v>
      </c>
      <c r="AN29" s="843"/>
      <c r="AO29" s="843"/>
      <c r="AP29" s="843"/>
      <c r="AQ29" s="843"/>
      <c r="AR29" s="843"/>
      <c r="AS29" s="844"/>
    </row>
    <row r="30" spans="2:72" ht="21.75" customHeight="1">
      <c r="V30" s="821" t="s">
        <v>78</v>
      </c>
      <c r="W30" s="822"/>
      <c r="X30" s="822"/>
      <c r="Y30" s="822"/>
      <c r="Z30" s="823"/>
      <c r="AA30" s="830" t="str">
        <f>'측정자 입력파일'!D11</f>
        <v>제 2016-076 호</v>
      </c>
      <c r="AB30" s="831"/>
      <c r="AC30" s="831"/>
      <c r="AD30" s="831"/>
      <c r="AE30" s="831"/>
      <c r="AF30" s="831"/>
      <c r="AG30" s="832"/>
      <c r="AH30" s="821" t="s">
        <v>79</v>
      </c>
      <c r="AI30" s="822"/>
      <c r="AJ30" s="822"/>
      <c r="AK30" s="822"/>
      <c r="AL30" s="823"/>
      <c r="AM30" s="824" t="str">
        <f>'측정자 입력파일'!D15</f>
        <v>031-944-0341</v>
      </c>
      <c r="AN30" s="825"/>
      <c r="AO30" s="825"/>
      <c r="AP30" s="825"/>
      <c r="AQ30" s="825"/>
      <c r="AR30" s="825"/>
      <c r="AS30" s="826"/>
    </row>
    <row r="31" spans="2:72" ht="21.75" customHeight="1">
      <c r="V31" s="821" t="s">
        <v>83</v>
      </c>
      <c r="W31" s="822"/>
      <c r="X31" s="822"/>
      <c r="Y31" s="822"/>
      <c r="Z31" s="823"/>
      <c r="AA31" s="827" t="str">
        <f xml:space="preserve"> " 경기도 " &amp; '측정자 입력파일'!D17 &amp; " " &amp;'측정자 입력파일'!D18</f>
        <v xml:space="preserve"> 경기도 고양시 덕양구 호국로 787</v>
      </c>
      <c r="AB31" s="828"/>
      <c r="AC31" s="828"/>
      <c r="AD31" s="828"/>
      <c r="AE31" s="828"/>
      <c r="AF31" s="828"/>
      <c r="AG31" s="828"/>
      <c r="AH31" s="828"/>
      <c r="AI31" s="828"/>
      <c r="AJ31" s="828"/>
      <c r="AK31" s="828"/>
      <c r="AL31" s="828"/>
      <c r="AM31" s="828"/>
      <c r="AN31" s="828"/>
      <c r="AO31" s="828"/>
      <c r="AP31" s="828"/>
      <c r="AQ31" s="828"/>
      <c r="AR31" s="828"/>
      <c r="AS31" s="829"/>
    </row>
    <row r="32" spans="2:72" ht="15">
      <c r="V32" s="554" t="s">
        <v>518</v>
      </c>
      <c r="AU32" s="387" t="s">
        <v>519</v>
      </c>
      <c r="BT32" s="387" t="s">
        <v>520</v>
      </c>
    </row>
    <row r="33" spans="22:95" ht="24" customHeight="1">
      <c r="V33" s="790" t="s">
        <v>85</v>
      </c>
      <c r="W33" s="790"/>
      <c r="X33" s="790"/>
      <c r="Y33" s="790"/>
      <c r="Z33" s="790"/>
      <c r="AA33" s="790"/>
      <c r="AB33" s="790"/>
      <c r="AC33" s="790"/>
      <c r="AD33" s="790"/>
      <c r="AE33" s="790"/>
      <c r="AF33" s="790"/>
      <c r="AG33" s="790"/>
      <c r="AH33" s="799" t="s">
        <v>86</v>
      </c>
      <c r="AI33" s="799"/>
      <c r="AJ33" s="799"/>
      <c r="AK33" s="799"/>
      <c r="AL33" s="799"/>
      <c r="AM33" s="799"/>
      <c r="AN33" s="800" t="s">
        <v>87</v>
      </c>
      <c r="AO33" s="800"/>
      <c r="AP33" s="800"/>
      <c r="AQ33" s="800"/>
      <c r="AR33" s="800"/>
      <c r="AS33" s="800"/>
      <c r="AU33" s="790" t="s">
        <v>85</v>
      </c>
      <c r="AV33" s="790"/>
      <c r="AW33" s="790"/>
      <c r="AX33" s="790"/>
      <c r="AY33" s="790"/>
      <c r="AZ33" s="790"/>
      <c r="BA33" s="790"/>
      <c r="BB33" s="790"/>
      <c r="BC33" s="790"/>
      <c r="BD33" s="790"/>
      <c r="BE33" s="790"/>
      <c r="BF33" s="790"/>
      <c r="BG33" s="799" t="s">
        <v>86</v>
      </c>
      <c r="BH33" s="799"/>
      <c r="BI33" s="799"/>
      <c r="BJ33" s="799"/>
      <c r="BK33" s="799"/>
      <c r="BL33" s="799"/>
      <c r="BM33" s="800" t="s">
        <v>87</v>
      </c>
      <c r="BN33" s="800"/>
      <c r="BO33" s="800"/>
      <c r="BP33" s="800"/>
      <c r="BQ33" s="800"/>
      <c r="BR33" s="800"/>
      <c r="BT33" s="790" t="s">
        <v>85</v>
      </c>
      <c r="BU33" s="790"/>
      <c r="BV33" s="790"/>
      <c r="BW33" s="790"/>
      <c r="BX33" s="790"/>
      <c r="BY33" s="790"/>
      <c r="BZ33" s="790"/>
      <c r="CA33" s="790"/>
      <c r="CB33" s="790"/>
      <c r="CC33" s="790"/>
      <c r="CD33" s="790"/>
      <c r="CE33" s="790"/>
      <c r="CF33" s="799" t="s">
        <v>86</v>
      </c>
      <c r="CG33" s="799"/>
      <c r="CH33" s="799"/>
      <c r="CI33" s="799"/>
      <c r="CJ33" s="799"/>
      <c r="CK33" s="799"/>
      <c r="CL33" s="800" t="s">
        <v>87</v>
      </c>
      <c r="CM33" s="800"/>
      <c r="CN33" s="800"/>
      <c r="CO33" s="800"/>
      <c r="CP33" s="800"/>
      <c r="CQ33" s="800"/>
    </row>
    <row r="34" spans="22:95" ht="24" customHeight="1">
      <c r="V34" s="797" t="s">
        <v>89</v>
      </c>
      <c r="W34" s="797"/>
      <c r="X34" s="797"/>
      <c r="Y34" s="797"/>
      <c r="Z34" s="797"/>
      <c r="AA34" s="797"/>
      <c r="AB34" s="797"/>
      <c r="AC34" s="797"/>
      <c r="AD34" s="797"/>
      <c r="AE34" s="797"/>
      <c r="AF34" s="797"/>
      <c r="AG34" s="797"/>
      <c r="AH34" s="798">
        <v>2</v>
      </c>
      <c r="AI34" s="798"/>
      <c r="AJ34" s="798"/>
      <c r="AK34" s="798"/>
      <c r="AL34" s="798"/>
      <c r="AM34" s="798"/>
      <c r="AN34" s="793">
        <f>'측정자 입력파일'!AA5</f>
        <v>2</v>
      </c>
      <c r="AO34" s="793"/>
      <c r="AP34" s="793"/>
      <c r="AQ34" s="793"/>
      <c r="AR34" s="793"/>
      <c r="AS34" s="793"/>
      <c r="AU34" s="797" t="s">
        <v>89</v>
      </c>
      <c r="AV34" s="797"/>
      <c r="AW34" s="797"/>
      <c r="AX34" s="797"/>
      <c r="AY34" s="797"/>
      <c r="AZ34" s="797"/>
      <c r="BA34" s="797"/>
      <c r="BB34" s="797"/>
      <c r="BC34" s="797"/>
      <c r="BD34" s="797"/>
      <c r="BE34" s="797"/>
      <c r="BF34" s="797"/>
      <c r="BG34" s="798">
        <v>2</v>
      </c>
      <c r="BH34" s="798"/>
      <c r="BI34" s="798"/>
      <c r="BJ34" s="798"/>
      <c r="BK34" s="798"/>
      <c r="BL34" s="798"/>
      <c r="BM34" s="793">
        <f>'측정자 입력파일'!U5</f>
        <v>0</v>
      </c>
      <c r="BN34" s="793"/>
      <c r="BO34" s="793"/>
      <c r="BP34" s="793"/>
      <c r="BQ34" s="793"/>
      <c r="BR34" s="793"/>
      <c r="BT34" s="797" t="s">
        <v>89</v>
      </c>
      <c r="BU34" s="797"/>
      <c r="BV34" s="797"/>
      <c r="BW34" s="797"/>
      <c r="BX34" s="797"/>
      <c r="BY34" s="797"/>
      <c r="BZ34" s="797"/>
      <c r="CA34" s="797"/>
      <c r="CB34" s="797"/>
      <c r="CC34" s="797"/>
      <c r="CD34" s="797"/>
      <c r="CE34" s="797"/>
      <c r="CF34" s="798">
        <v>2</v>
      </c>
      <c r="CG34" s="798"/>
      <c r="CH34" s="798"/>
      <c r="CI34" s="798"/>
      <c r="CJ34" s="798"/>
      <c r="CK34" s="798"/>
      <c r="CL34" s="793">
        <f>'측정자 입력파일'!W5</f>
        <v>0</v>
      </c>
      <c r="CM34" s="793"/>
      <c r="CN34" s="793"/>
      <c r="CO34" s="793"/>
      <c r="CP34" s="793"/>
      <c r="CQ34" s="793"/>
    </row>
    <row r="35" spans="22:95" ht="24" customHeight="1">
      <c r="V35" s="797" t="s">
        <v>90</v>
      </c>
      <c r="W35" s="797"/>
      <c r="X35" s="797"/>
      <c r="Y35" s="797"/>
      <c r="Z35" s="797"/>
      <c r="AA35" s="797"/>
      <c r="AB35" s="797"/>
      <c r="AC35" s="797"/>
      <c r="AD35" s="797"/>
      <c r="AE35" s="797"/>
      <c r="AF35" s="797"/>
      <c r="AG35" s="797"/>
      <c r="AH35" s="798">
        <v>5</v>
      </c>
      <c r="AI35" s="798"/>
      <c r="AJ35" s="798"/>
      <c r="AK35" s="798"/>
      <c r="AL35" s="798"/>
      <c r="AM35" s="798"/>
      <c r="AN35" s="793">
        <f>'측정자 입력파일'!AA9</f>
        <v>5</v>
      </c>
      <c r="AO35" s="793"/>
      <c r="AP35" s="793"/>
      <c r="AQ35" s="793"/>
      <c r="AR35" s="793"/>
      <c r="AS35" s="793"/>
      <c r="AU35" s="797" t="s">
        <v>90</v>
      </c>
      <c r="AV35" s="797"/>
      <c r="AW35" s="797"/>
      <c r="AX35" s="797"/>
      <c r="AY35" s="797"/>
      <c r="AZ35" s="797"/>
      <c r="BA35" s="797"/>
      <c r="BB35" s="797"/>
      <c r="BC35" s="797"/>
      <c r="BD35" s="797"/>
      <c r="BE35" s="797"/>
      <c r="BF35" s="797"/>
      <c r="BG35" s="798">
        <v>5</v>
      </c>
      <c r="BH35" s="798"/>
      <c r="BI35" s="798"/>
      <c r="BJ35" s="798"/>
      <c r="BK35" s="798"/>
      <c r="BL35" s="798"/>
      <c r="BM35" s="793">
        <f>'측정자 입력파일'!U9</f>
        <v>0</v>
      </c>
      <c r="BN35" s="793"/>
      <c r="BO35" s="793"/>
      <c r="BP35" s="793"/>
      <c r="BQ35" s="793"/>
      <c r="BR35" s="793"/>
      <c r="BT35" s="797" t="s">
        <v>90</v>
      </c>
      <c r="BU35" s="797"/>
      <c r="BV35" s="797"/>
      <c r="BW35" s="797"/>
      <c r="BX35" s="797"/>
      <c r="BY35" s="797"/>
      <c r="BZ35" s="797"/>
      <c r="CA35" s="797"/>
      <c r="CB35" s="797"/>
      <c r="CC35" s="797"/>
      <c r="CD35" s="797"/>
      <c r="CE35" s="797"/>
      <c r="CF35" s="798">
        <v>5</v>
      </c>
      <c r="CG35" s="798"/>
      <c r="CH35" s="798"/>
      <c r="CI35" s="798"/>
      <c r="CJ35" s="798"/>
      <c r="CK35" s="798"/>
      <c r="CL35" s="793">
        <f>'측정자 입력파일'!W9</f>
        <v>0</v>
      </c>
      <c r="CM35" s="793"/>
      <c r="CN35" s="793"/>
      <c r="CO35" s="793"/>
      <c r="CP35" s="793"/>
      <c r="CQ35" s="793"/>
    </row>
    <row r="36" spans="22:95" ht="24" customHeight="1">
      <c r="V36" s="797" t="s">
        <v>91</v>
      </c>
      <c r="W36" s="797"/>
      <c r="X36" s="797"/>
      <c r="Y36" s="797"/>
      <c r="Z36" s="797"/>
      <c r="AA36" s="797"/>
      <c r="AB36" s="797"/>
      <c r="AC36" s="797"/>
      <c r="AD36" s="797"/>
      <c r="AE36" s="797"/>
      <c r="AF36" s="797"/>
      <c r="AG36" s="797"/>
      <c r="AH36" s="798">
        <v>15</v>
      </c>
      <c r="AI36" s="798"/>
      <c r="AJ36" s="798"/>
      <c r="AK36" s="798"/>
      <c r="AL36" s="798"/>
      <c r="AM36" s="798"/>
      <c r="AN36" s="793">
        <f>'측정자 입력파일'!AA15</f>
        <v>14</v>
      </c>
      <c r="AO36" s="793"/>
      <c r="AP36" s="793"/>
      <c r="AQ36" s="793"/>
      <c r="AR36" s="793"/>
      <c r="AS36" s="793"/>
      <c r="AU36" s="797" t="s">
        <v>91</v>
      </c>
      <c r="AV36" s="797"/>
      <c r="AW36" s="797"/>
      <c r="AX36" s="797"/>
      <c r="AY36" s="797"/>
      <c r="AZ36" s="797"/>
      <c r="BA36" s="797"/>
      <c r="BB36" s="797"/>
      <c r="BC36" s="797"/>
      <c r="BD36" s="797"/>
      <c r="BE36" s="797"/>
      <c r="BF36" s="797"/>
      <c r="BG36" s="798">
        <v>15</v>
      </c>
      <c r="BH36" s="798"/>
      <c r="BI36" s="798"/>
      <c r="BJ36" s="798"/>
      <c r="BK36" s="798"/>
      <c r="BL36" s="798"/>
      <c r="BM36" s="793">
        <f>'측정자 입력파일'!U15</f>
        <v>0</v>
      </c>
      <c r="BN36" s="793"/>
      <c r="BO36" s="793"/>
      <c r="BP36" s="793"/>
      <c r="BQ36" s="793"/>
      <c r="BR36" s="793"/>
      <c r="BT36" s="797" t="s">
        <v>91</v>
      </c>
      <c r="BU36" s="797"/>
      <c r="BV36" s="797"/>
      <c r="BW36" s="797"/>
      <c r="BX36" s="797"/>
      <c r="BY36" s="797"/>
      <c r="BZ36" s="797"/>
      <c r="CA36" s="797"/>
      <c r="CB36" s="797"/>
      <c r="CC36" s="797"/>
      <c r="CD36" s="797"/>
      <c r="CE36" s="797"/>
      <c r="CF36" s="798">
        <v>15</v>
      </c>
      <c r="CG36" s="798"/>
      <c r="CH36" s="798"/>
      <c r="CI36" s="798"/>
      <c r="CJ36" s="798"/>
      <c r="CK36" s="798"/>
      <c r="CL36" s="793">
        <f>'측정자 입력파일'!W15</f>
        <v>0</v>
      </c>
      <c r="CM36" s="793"/>
      <c r="CN36" s="793"/>
      <c r="CO36" s="793"/>
      <c r="CP36" s="793"/>
      <c r="CQ36" s="793"/>
    </row>
    <row r="37" spans="22:95" ht="24" customHeight="1">
      <c r="V37" s="797" t="s">
        <v>92</v>
      </c>
      <c r="W37" s="797"/>
      <c r="X37" s="797"/>
      <c r="Y37" s="797"/>
      <c r="Z37" s="797"/>
      <c r="AA37" s="797"/>
      <c r="AB37" s="797"/>
      <c r="AC37" s="797"/>
      <c r="AD37" s="797"/>
      <c r="AE37" s="797"/>
      <c r="AF37" s="797"/>
      <c r="AG37" s="797"/>
      <c r="AH37" s="798">
        <v>5</v>
      </c>
      <c r="AI37" s="798"/>
      <c r="AJ37" s="798"/>
      <c r="AK37" s="798"/>
      <c r="AL37" s="798"/>
      <c r="AM37" s="798"/>
      <c r="AN37" s="793">
        <f>'측정자 입력파일'!AA22</f>
        <v>5</v>
      </c>
      <c r="AO37" s="793"/>
      <c r="AP37" s="793"/>
      <c r="AQ37" s="793"/>
      <c r="AR37" s="793"/>
      <c r="AS37" s="793"/>
      <c r="AU37" s="797" t="s">
        <v>92</v>
      </c>
      <c r="AV37" s="797"/>
      <c r="AW37" s="797"/>
      <c r="AX37" s="797"/>
      <c r="AY37" s="797"/>
      <c r="AZ37" s="797"/>
      <c r="BA37" s="797"/>
      <c r="BB37" s="797"/>
      <c r="BC37" s="797"/>
      <c r="BD37" s="797"/>
      <c r="BE37" s="797"/>
      <c r="BF37" s="797"/>
      <c r="BG37" s="798">
        <v>5</v>
      </c>
      <c r="BH37" s="798"/>
      <c r="BI37" s="798"/>
      <c r="BJ37" s="798"/>
      <c r="BK37" s="798"/>
      <c r="BL37" s="798"/>
      <c r="BM37" s="793">
        <f>'측정자 입력파일'!U22</f>
        <v>0</v>
      </c>
      <c r="BN37" s="793"/>
      <c r="BO37" s="793"/>
      <c r="BP37" s="793"/>
      <c r="BQ37" s="793"/>
      <c r="BR37" s="793"/>
      <c r="BT37" s="797" t="s">
        <v>92</v>
      </c>
      <c r="BU37" s="797"/>
      <c r="BV37" s="797"/>
      <c r="BW37" s="797"/>
      <c r="BX37" s="797"/>
      <c r="BY37" s="797"/>
      <c r="BZ37" s="797"/>
      <c r="CA37" s="797"/>
      <c r="CB37" s="797"/>
      <c r="CC37" s="797"/>
      <c r="CD37" s="797"/>
      <c r="CE37" s="797"/>
      <c r="CF37" s="798">
        <v>5</v>
      </c>
      <c r="CG37" s="798"/>
      <c r="CH37" s="798"/>
      <c r="CI37" s="798"/>
      <c r="CJ37" s="798"/>
      <c r="CK37" s="798"/>
      <c r="CL37" s="793">
        <f>'측정자 입력파일'!W22</f>
        <v>0</v>
      </c>
      <c r="CM37" s="793"/>
      <c r="CN37" s="793"/>
      <c r="CO37" s="793"/>
      <c r="CP37" s="793"/>
      <c r="CQ37" s="793"/>
    </row>
    <row r="38" spans="22:95" ht="24" customHeight="1">
      <c r="V38" s="797" t="s">
        <v>93</v>
      </c>
      <c r="W38" s="797"/>
      <c r="X38" s="797"/>
      <c r="Y38" s="797"/>
      <c r="Z38" s="797"/>
      <c r="AA38" s="797"/>
      <c r="AB38" s="797"/>
      <c r="AC38" s="797"/>
      <c r="AD38" s="797"/>
      <c r="AE38" s="797"/>
      <c r="AF38" s="797"/>
      <c r="AG38" s="797"/>
      <c r="AH38" s="798">
        <v>5</v>
      </c>
      <c r="AI38" s="798"/>
      <c r="AJ38" s="798"/>
      <c r="AK38" s="798"/>
      <c r="AL38" s="798"/>
      <c r="AM38" s="798"/>
      <c r="AN38" s="793">
        <f>'측정자 입력파일'!AA23</f>
        <v>5</v>
      </c>
      <c r="AO38" s="793"/>
      <c r="AP38" s="793"/>
      <c r="AQ38" s="793"/>
      <c r="AR38" s="793"/>
      <c r="AS38" s="793"/>
      <c r="AU38" s="797" t="s">
        <v>93</v>
      </c>
      <c r="AV38" s="797"/>
      <c r="AW38" s="797"/>
      <c r="AX38" s="797"/>
      <c r="AY38" s="797"/>
      <c r="AZ38" s="797"/>
      <c r="BA38" s="797"/>
      <c r="BB38" s="797"/>
      <c r="BC38" s="797"/>
      <c r="BD38" s="797"/>
      <c r="BE38" s="797"/>
      <c r="BF38" s="797"/>
      <c r="BG38" s="798">
        <v>5</v>
      </c>
      <c r="BH38" s="798"/>
      <c r="BI38" s="798"/>
      <c r="BJ38" s="798"/>
      <c r="BK38" s="798"/>
      <c r="BL38" s="798"/>
      <c r="BM38" s="793">
        <f>'측정자 입력파일'!U23</f>
        <v>0</v>
      </c>
      <c r="BN38" s="793"/>
      <c r="BO38" s="793"/>
      <c r="BP38" s="793"/>
      <c r="BQ38" s="793"/>
      <c r="BR38" s="793"/>
      <c r="BT38" s="797" t="s">
        <v>93</v>
      </c>
      <c r="BU38" s="797"/>
      <c r="BV38" s="797"/>
      <c r="BW38" s="797"/>
      <c r="BX38" s="797"/>
      <c r="BY38" s="797"/>
      <c r="BZ38" s="797"/>
      <c r="CA38" s="797"/>
      <c r="CB38" s="797"/>
      <c r="CC38" s="797"/>
      <c r="CD38" s="797"/>
      <c r="CE38" s="797"/>
      <c r="CF38" s="798">
        <v>5</v>
      </c>
      <c r="CG38" s="798"/>
      <c r="CH38" s="798"/>
      <c r="CI38" s="798"/>
      <c r="CJ38" s="798"/>
      <c r="CK38" s="798"/>
      <c r="CL38" s="793">
        <f>'측정자 입력파일'!W23</f>
        <v>0</v>
      </c>
      <c r="CM38" s="793"/>
      <c r="CN38" s="793"/>
      <c r="CO38" s="793"/>
      <c r="CP38" s="793"/>
      <c r="CQ38" s="793"/>
    </row>
    <row r="39" spans="22:95" ht="24" customHeight="1">
      <c r="V39" s="797" t="s">
        <v>94</v>
      </c>
      <c r="W39" s="797"/>
      <c r="X39" s="797"/>
      <c r="Y39" s="797"/>
      <c r="Z39" s="797"/>
      <c r="AA39" s="797"/>
      <c r="AB39" s="797"/>
      <c r="AC39" s="797"/>
      <c r="AD39" s="797"/>
      <c r="AE39" s="797"/>
      <c r="AF39" s="797"/>
      <c r="AG39" s="797"/>
      <c r="AH39" s="798">
        <v>10</v>
      </c>
      <c r="AI39" s="798"/>
      <c r="AJ39" s="798"/>
      <c r="AK39" s="798"/>
      <c r="AL39" s="798"/>
      <c r="AM39" s="798"/>
      <c r="AN39" s="793">
        <f>'측정자 입력파일'!AA25</f>
        <v>10</v>
      </c>
      <c r="AO39" s="793"/>
      <c r="AP39" s="793"/>
      <c r="AQ39" s="793"/>
      <c r="AR39" s="793"/>
      <c r="AS39" s="793"/>
      <c r="AU39" s="797" t="s">
        <v>94</v>
      </c>
      <c r="AV39" s="797"/>
      <c r="AW39" s="797"/>
      <c r="AX39" s="797"/>
      <c r="AY39" s="797"/>
      <c r="AZ39" s="797"/>
      <c r="BA39" s="797"/>
      <c r="BB39" s="797"/>
      <c r="BC39" s="797"/>
      <c r="BD39" s="797"/>
      <c r="BE39" s="797"/>
      <c r="BF39" s="797"/>
      <c r="BG39" s="798">
        <v>10</v>
      </c>
      <c r="BH39" s="798"/>
      <c r="BI39" s="798"/>
      <c r="BJ39" s="798"/>
      <c r="BK39" s="798"/>
      <c r="BL39" s="798"/>
      <c r="BM39" s="793">
        <f>'측정자 입력파일'!U25</f>
        <v>0</v>
      </c>
      <c r="BN39" s="793"/>
      <c r="BO39" s="793"/>
      <c r="BP39" s="793"/>
      <c r="BQ39" s="793"/>
      <c r="BR39" s="793"/>
      <c r="BT39" s="797" t="s">
        <v>94</v>
      </c>
      <c r="BU39" s="797"/>
      <c r="BV39" s="797"/>
      <c r="BW39" s="797"/>
      <c r="BX39" s="797"/>
      <c r="BY39" s="797"/>
      <c r="BZ39" s="797"/>
      <c r="CA39" s="797"/>
      <c r="CB39" s="797"/>
      <c r="CC39" s="797"/>
      <c r="CD39" s="797"/>
      <c r="CE39" s="797"/>
      <c r="CF39" s="798">
        <v>10</v>
      </c>
      <c r="CG39" s="798"/>
      <c r="CH39" s="798"/>
      <c r="CI39" s="798"/>
      <c r="CJ39" s="798"/>
      <c r="CK39" s="798"/>
      <c r="CL39" s="793">
        <f>'측정자 입력파일'!W25</f>
        <v>0</v>
      </c>
      <c r="CM39" s="793"/>
      <c r="CN39" s="793"/>
      <c r="CO39" s="793"/>
      <c r="CP39" s="793"/>
      <c r="CQ39" s="793"/>
    </row>
    <row r="40" spans="22:95" ht="24" customHeight="1">
      <c r="V40" s="797" t="s">
        <v>99</v>
      </c>
      <c r="W40" s="797"/>
      <c r="X40" s="797"/>
      <c r="Y40" s="797"/>
      <c r="Z40" s="797"/>
      <c r="AA40" s="797"/>
      <c r="AB40" s="797"/>
      <c r="AC40" s="797"/>
      <c r="AD40" s="797"/>
      <c r="AE40" s="797"/>
      <c r="AF40" s="797"/>
      <c r="AG40" s="797"/>
      <c r="AH40" s="798">
        <v>5</v>
      </c>
      <c r="AI40" s="798"/>
      <c r="AJ40" s="798"/>
      <c r="AK40" s="798"/>
      <c r="AL40" s="798"/>
      <c r="AM40" s="798"/>
      <c r="AN40" s="793">
        <f>'측정자 입력파일'!AA31</f>
        <v>5</v>
      </c>
      <c r="AO40" s="793"/>
      <c r="AP40" s="793"/>
      <c r="AQ40" s="793"/>
      <c r="AR40" s="793"/>
      <c r="AS40" s="793"/>
      <c r="AU40" s="797" t="s">
        <v>99</v>
      </c>
      <c r="AV40" s="797"/>
      <c r="AW40" s="797"/>
      <c r="AX40" s="797"/>
      <c r="AY40" s="797"/>
      <c r="AZ40" s="797"/>
      <c r="BA40" s="797"/>
      <c r="BB40" s="797"/>
      <c r="BC40" s="797"/>
      <c r="BD40" s="797"/>
      <c r="BE40" s="797"/>
      <c r="BF40" s="797"/>
      <c r="BG40" s="798">
        <v>5</v>
      </c>
      <c r="BH40" s="798"/>
      <c r="BI40" s="798"/>
      <c r="BJ40" s="798"/>
      <c r="BK40" s="798"/>
      <c r="BL40" s="798"/>
      <c r="BM40" s="793">
        <f>'측정자 입력파일'!U31</f>
        <v>0</v>
      </c>
      <c r="BN40" s="793"/>
      <c r="BO40" s="793"/>
      <c r="BP40" s="793"/>
      <c r="BQ40" s="793"/>
      <c r="BR40" s="793"/>
      <c r="BT40" s="797" t="s">
        <v>99</v>
      </c>
      <c r="BU40" s="797"/>
      <c r="BV40" s="797"/>
      <c r="BW40" s="797"/>
      <c r="BX40" s="797"/>
      <c r="BY40" s="797"/>
      <c r="BZ40" s="797"/>
      <c r="CA40" s="797"/>
      <c r="CB40" s="797"/>
      <c r="CC40" s="797"/>
      <c r="CD40" s="797"/>
      <c r="CE40" s="797"/>
      <c r="CF40" s="798">
        <v>5</v>
      </c>
      <c r="CG40" s="798"/>
      <c r="CH40" s="798"/>
      <c r="CI40" s="798"/>
      <c r="CJ40" s="798"/>
      <c r="CK40" s="798"/>
      <c r="CL40" s="793">
        <f>'측정자 입력파일'!W31</f>
        <v>0</v>
      </c>
      <c r="CM40" s="793"/>
      <c r="CN40" s="793"/>
      <c r="CO40" s="793"/>
      <c r="CP40" s="793"/>
      <c r="CQ40" s="793"/>
    </row>
    <row r="41" spans="22:95" ht="24" customHeight="1">
      <c r="V41" s="797" t="s">
        <v>103</v>
      </c>
      <c r="W41" s="797"/>
      <c r="X41" s="797"/>
      <c r="Y41" s="797"/>
      <c r="Z41" s="797"/>
      <c r="AA41" s="797"/>
      <c r="AB41" s="797"/>
      <c r="AC41" s="797"/>
      <c r="AD41" s="797"/>
      <c r="AE41" s="797"/>
      <c r="AF41" s="797"/>
      <c r="AG41" s="797"/>
      <c r="AH41" s="798">
        <v>8</v>
      </c>
      <c r="AI41" s="798"/>
      <c r="AJ41" s="798"/>
      <c r="AK41" s="798"/>
      <c r="AL41" s="798"/>
      <c r="AM41" s="798"/>
      <c r="AN41" s="793">
        <f>'측정자 입력파일'!AA34</f>
        <v>8</v>
      </c>
      <c r="AO41" s="793"/>
      <c r="AP41" s="793"/>
      <c r="AQ41" s="793"/>
      <c r="AR41" s="793"/>
      <c r="AS41" s="793"/>
      <c r="AU41" s="797" t="s">
        <v>103</v>
      </c>
      <c r="AV41" s="797"/>
      <c r="AW41" s="797"/>
      <c r="AX41" s="797"/>
      <c r="AY41" s="797"/>
      <c r="AZ41" s="797"/>
      <c r="BA41" s="797"/>
      <c r="BB41" s="797"/>
      <c r="BC41" s="797"/>
      <c r="BD41" s="797"/>
      <c r="BE41" s="797"/>
      <c r="BF41" s="797"/>
      <c r="BG41" s="798">
        <v>8</v>
      </c>
      <c r="BH41" s="798"/>
      <c r="BI41" s="798"/>
      <c r="BJ41" s="798"/>
      <c r="BK41" s="798"/>
      <c r="BL41" s="798"/>
      <c r="BM41" s="793">
        <f>'측정자 입력파일'!U34</f>
        <v>0</v>
      </c>
      <c r="BN41" s="793"/>
      <c r="BO41" s="793"/>
      <c r="BP41" s="793"/>
      <c r="BQ41" s="793"/>
      <c r="BR41" s="793"/>
      <c r="BT41" s="797" t="s">
        <v>103</v>
      </c>
      <c r="BU41" s="797"/>
      <c r="BV41" s="797"/>
      <c r="BW41" s="797"/>
      <c r="BX41" s="797"/>
      <c r="BY41" s="797"/>
      <c r="BZ41" s="797"/>
      <c r="CA41" s="797"/>
      <c r="CB41" s="797"/>
      <c r="CC41" s="797"/>
      <c r="CD41" s="797"/>
      <c r="CE41" s="797"/>
      <c r="CF41" s="798">
        <v>8</v>
      </c>
      <c r="CG41" s="798"/>
      <c r="CH41" s="798"/>
      <c r="CI41" s="798"/>
      <c r="CJ41" s="798"/>
      <c r="CK41" s="798"/>
      <c r="CL41" s="793">
        <f>'측정자 입력파일'!W34</f>
        <v>0</v>
      </c>
      <c r="CM41" s="793"/>
      <c r="CN41" s="793"/>
      <c r="CO41" s="793"/>
      <c r="CP41" s="793"/>
      <c r="CQ41" s="793"/>
    </row>
    <row r="42" spans="22:95" ht="24" customHeight="1">
      <c r="V42" s="797" t="s">
        <v>105</v>
      </c>
      <c r="W42" s="797"/>
      <c r="X42" s="797"/>
      <c r="Y42" s="797"/>
      <c r="Z42" s="797"/>
      <c r="AA42" s="797"/>
      <c r="AB42" s="797"/>
      <c r="AC42" s="797"/>
      <c r="AD42" s="797"/>
      <c r="AE42" s="797"/>
      <c r="AF42" s="797"/>
      <c r="AG42" s="797"/>
      <c r="AH42" s="798">
        <v>5</v>
      </c>
      <c r="AI42" s="798"/>
      <c r="AJ42" s="798"/>
      <c r="AK42" s="798"/>
      <c r="AL42" s="798"/>
      <c r="AM42" s="798"/>
      <c r="AN42" s="793">
        <f>'측정자 입력파일'!AA36</f>
        <v>5</v>
      </c>
      <c r="AO42" s="793"/>
      <c r="AP42" s="793"/>
      <c r="AQ42" s="793"/>
      <c r="AR42" s="793"/>
      <c r="AS42" s="793"/>
      <c r="AU42" s="797" t="s">
        <v>105</v>
      </c>
      <c r="AV42" s="797"/>
      <c r="AW42" s="797"/>
      <c r="AX42" s="797"/>
      <c r="AY42" s="797"/>
      <c r="AZ42" s="797"/>
      <c r="BA42" s="797"/>
      <c r="BB42" s="797"/>
      <c r="BC42" s="797"/>
      <c r="BD42" s="797"/>
      <c r="BE42" s="797"/>
      <c r="BF42" s="797"/>
      <c r="BG42" s="798">
        <v>5</v>
      </c>
      <c r="BH42" s="798"/>
      <c r="BI42" s="798"/>
      <c r="BJ42" s="798"/>
      <c r="BK42" s="798"/>
      <c r="BL42" s="798"/>
      <c r="BM42" s="793">
        <f>'측정자 입력파일'!U36</f>
        <v>0</v>
      </c>
      <c r="BN42" s="793"/>
      <c r="BO42" s="793"/>
      <c r="BP42" s="793"/>
      <c r="BQ42" s="793"/>
      <c r="BR42" s="793"/>
      <c r="BT42" s="797" t="s">
        <v>105</v>
      </c>
      <c r="BU42" s="797"/>
      <c r="BV42" s="797"/>
      <c r="BW42" s="797"/>
      <c r="BX42" s="797"/>
      <c r="BY42" s="797"/>
      <c r="BZ42" s="797"/>
      <c r="CA42" s="797"/>
      <c r="CB42" s="797"/>
      <c r="CC42" s="797"/>
      <c r="CD42" s="797"/>
      <c r="CE42" s="797"/>
      <c r="CF42" s="798">
        <v>5</v>
      </c>
      <c r="CG42" s="798"/>
      <c r="CH42" s="798"/>
      <c r="CI42" s="798"/>
      <c r="CJ42" s="798"/>
      <c r="CK42" s="798"/>
      <c r="CL42" s="793">
        <f>'측정자 입력파일'!W36</f>
        <v>0</v>
      </c>
      <c r="CM42" s="793"/>
      <c r="CN42" s="793"/>
      <c r="CO42" s="793"/>
      <c r="CP42" s="793"/>
      <c r="CQ42" s="793"/>
    </row>
    <row r="43" spans="22:95" ht="24" customHeight="1">
      <c r="V43" s="794" t="s">
        <v>110</v>
      </c>
      <c r="W43" s="794"/>
      <c r="X43" s="794"/>
      <c r="Y43" s="794"/>
      <c r="Z43" s="794"/>
      <c r="AA43" s="794"/>
      <c r="AB43" s="794"/>
      <c r="AC43" s="794"/>
      <c r="AD43" s="794"/>
      <c r="AE43" s="794"/>
      <c r="AF43" s="794"/>
      <c r="AG43" s="794"/>
      <c r="AH43" s="795">
        <v>10</v>
      </c>
      <c r="AI43" s="795"/>
      <c r="AJ43" s="795"/>
      <c r="AK43" s="795"/>
      <c r="AL43" s="795"/>
      <c r="AM43" s="795"/>
      <c r="AN43" s="796">
        <f>'측정자 입력파일'!AA39</f>
        <v>7.3</v>
      </c>
      <c r="AO43" s="796"/>
      <c r="AP43" s="796"/>
      <c r="AQ43" s="796"/>
      <c r="AR43" s="796"/>
      <c r="AS43" s="796"/>
      <c r="AU43" s="794" t="s">
        <v>110</v>
      </c>
      <c r="AV43" s="794"/>
      <c r="AW43" s="794"/>
      <c r="AX43" s="794"/>
      <c r="AY43" s="794"/>
      <c r="AZ43" s="794"/>
      <c r="BA43" s="794"/>
      <c r="BB43" s="794"/>
      <c r="BC43" s="794"/>
      <c r="BD43" s="794"/>
      <c r="BE43" s="794"/>
      <c r="BF43" s="794"/>
      <c r="BG43" s="795">
        <v>10</v>
      </c>
      <c r="BH43" s="795"/>
      <c r="BI43" s="795"/>
      <c r="BJ43" s="795"/>
      <c r="BK43" s="795"/>
      <c r="BL43" s="795"/>
      <c r="BM43" s="796">
        <f>'측정자 입력파일'!U39</f>
        <v>0</v>
      </c>
      <c r="BN43" s="796"/>
      <c r="BO43" s="796"/>
      <c r="BP43" s="796"/>
      <c r="BQ43" s="796"/>
      <c r="BR43" s="796"/>
      <c r="BT43" s="794" t="s">
        <v>110</v>
      </c>
      <c r="BU43" s="794"/>
      <c r="BV43" s="794"/>
      <c r="BW43" s="794"/>
      <c r="BX43" s="794"/>
      <c r="BY43" s="794"/>
      <c r="BZ43" s="794"/>
      <c r="CA43" s="794"/>
      <c r="CB43" s="794"/>
      <c r="CC43" s="794"/>
      <c r="CD43" s="794"/>
      <c r="CE43" s="794"/>
      <c r="CF43" s="795">
        <v>10</v>
      </c>
      <c r="CG43" s="795"/>
      <c r="CH43" s="795"/>
      <c r="CI43" s="795"/>
      <c r="CJ43" s="795"/>
      <c r="CK43" s="795"/>
      <c r="CL43" s="796">
        <f>'측정자 입력파일'!W39</f>
        <v>0</v>
      </c>
      <c r="CM43" s="796"/>
      <c r="CN43" s="796"/>
      <c r="CO43" s="796"/>
      <c r="CP43" s="796"/>
      <c r="CQ43" s="796"/>
    </row>
    <row r="44" spans="22:95" ht="24" customHeight="1">
      <c r="V44" s="794" t="s">
        <v>113</v>
      </c>
      <c r="W44" s="794"/>
      <c r="X44" s="794"/>
      <c r="Y44" s="794"/>
      <c r="Z44" s="794"/>
      <c r="AA44" s="794"/>
      <c r="AB44" s="794"/>
      <c r="AC44" s="794"/>
      <c r="AD44" s="794"/>
      <c r="AE44" s="794"/>
      <c r="AF44" s="794"/>
      <c r="AG44" s="794"/>
      <c r="AH44" s="795">
        <v>10</v>
      </c>
      <c r="AI44" s="795"/>
      <c r="AJ44" s="795"/>
      <c r="AK44" s="795"/>
      <c r="AL44" s="795"/>
      <c r="AM44" s="795"/>
      <c r="AN44" s="796">
        <f>'측정자 입력파일'!AA41</f>
        <v>6.8</v>
      </c>
      <c r="AO44" s="796"/>
      <c r="AP44" s="796"/>
      <c r="AQ44" s="796"/>
      <c r="AR44" s="796"/>
      <c r="AS44" s="796"/>
      <c r="AU44" s="794" t="s">
        <v>113</v>
      </c>
      <c r="AV44" s="794"/>
      <c r="AW44" s="794"/>
      <c r="AX44" s="794"/>
      <c r="AY44" s="794"/>
      <c r="AZ44" s="794"/>
      <c r="BA44" s="794"/>
      <c r="BB44" s="794"/>
      <c r="BC44" s="794"/>
      <c r="BD44" s="794"/>
      <c r="BE44" s="794"/>
      <c r="BF44" s="794"/>
      <c r="BG44" s="795">
        <v>10</v>
      </c>
      <c r="BH44" s="795"/>
      <c r="BI44" s="795"/>
      <c r="BJ44" s="795"/>
      <c r="BK44" s="795"/>
      <c r="BL44" s="795"/>
      <c r="BM44" s="796">
        <f>'측정자 입력파일'!U41</f>
        <v>0</v>
      </c>
      <c r="BN44" s="796"/>
      <c r="BO44" s="796"/>
      <c r="BP44" s="796"/>
      <c r="BQ44" s="796"/>
      <c r="BR44" s="796"/>
      <c r="BT44" s="794" t="s">
        <v>113</v>
      </c>
      <c r="BU44" s="794"/>
      <c r="BV44" s="794"/>
      <c r="BW44" s="794"/>
      <c r="BX44" s="794"/>
      <c r="BY44" s="794"/>
      <c r="BZ44" s="794"/>
      <c r="CA44" s="794"/>
      <c r="CB44" s="794"/>
      <c r="CC44" s="794"/>
      <c r="CD44" s="794"/>
      <c r="CE44" s="794"/>
      <c r="CF44" s="795">
        <v>10</v>
      </c>
      <c r="CG44" s="795"/>
      <c r="CH44" s="795"/>
      <c r="CI44" s="795"/>
      <c r="CJ44" s="795"/>
      <c r="CK44" s="795"/>
      <c r="CL44" s="796">
        <f>'측정자 입력파일'!W41</f>
        <v>0</v>
      </c>
      <c r="CM44" s="796"/>
      <c r="CN44" s="796"/>
      <c r="CO44" s="796"/>
      <c r="CP44" s="796"/>
      <c r="CQ44" s="796"/>
    </row>
    <row r="45" spans="22:95" ht="24" customHeight="1">
      <c r="V45" s="794" t="s">
        <v>116</v>
      </c>
      <c r="W45" s="794"/>
      <c r="X45" s="794"/>
      <c r="Y45" s="794"/>
      <c r="Z45" s="794"/>
      <c r="AA45" s="794"/>
      <c r="AB45" s="794"/>
      <c r="AC45" s="794"/>
      <c r="AD45" s="794"/>
      <c r="AE45" s="794"/>
      <c r="AF45" s="794"/>
      <c r="AG45" s="794"/>
      <c r="AH45" s="795">
        <v>5</v>
      </c>
      <c r="AI45" s="795"/>
      <c r="AJ45" s="795"/>
      <c r="AK45" s="795"/>
      <c r="AL45" s="795"/>
      <c r="AM45" s="795"/>
      <c r="AN45" s="796">
        <f>'측정자 입력파일'!AA43</f>
        <v>3.5</v>
      </c>
      <c r="AO45" s="796"/>
      <c r="AP45" s="796"/>
      <c r="AQ45" s="796"/>
      <c r="AR45" s="796"/>
      <c r="AS45" s="796"/>
      <c r="AU45" s="794" t="s">
        <v>116</v>
      </c>
      <c r="AV45" s="794"/>
      <c r="AW45" s="794"/>
      <c r="AX45" s="794"/>
      <c r="AY45" s="794"/>
      <c r="AZ45" s="794"/>
      <c r="BA45" s="794"/>
      <c r="BB45" s="794"/>
      <c r="BC45" s="794"/>
      <c r="BD45" s="794"/>
      <c r="BE45" s="794"/>
      <c r="BF45" s="794"/>
      <c r="BG45" s="795">
        <v>5</v>
      </c>
      <c r="BH45" s="795"/>
      <c r="BI45" s="795"/>
      <c r="BJ45" s="795"/>
      <c r="BK45" s="795"/>
      <c r="BL45" s="795"/>
      <c r="BM45" s="796">
        <f>'측정자 입력파일'!U43</f>
        <v>0</v>
      </c>
      <c r="BN45" s="796"/>
      <c r="BO45" s="796"/>
      <c r="BP45" s="796"/>
      <c r="BQ45" s="796"/>
      <c r="BR45" s="796"/>
      <c r="BT45" s="794" t="s">
        <v>116</v>
      </c>
      <c r="BU45" s="794"/>
      <c r="BV45" s="794"/>
      <c r="BW45" s="794"/>
      <c r="BX45" s="794"/>
      <c r="BY45" s="794"/>
      <c r="BZ45" s="794"/>
      <c r="CA45" s="794"/>
      <c r="CB45" s="794"/>
      <c r="CC45" s="794"/>
      <c r="CD45" s="794"/>
      <c r="CE45" s="794"/>
      <c r="CF45" s="795">
        <v>5</v>
      </c>
      <c r="CG45" s="795"/>
      <c r="CH45" s="795"/>
      <c r="CI45" s="795"/>
      <c r="CJ45" s="795"/>
      <c r="CK45" s="795"/>
      <c r="CL45" s="796">
        <f>'측정자 입력파일'!W43</f>
        <v>0</v>
      </c>
      <c r="CM45" s="796"/>
      <c r="CN45" s="796"/>
      <c r="CO45" s="796"/>
      <c r="CP45" s="796"/>
      <c r="CQ45" s="796"/>
    </row>
    <row r="46" spans="22:95" ht="24" customHeight="1">
      <c r="V46" s="794" t="s">
        <v>119</v>
      </c>
      <c r="W46" s="794"/>
      <c r="X46" s="794"/>
      <c r="Y46" s="794"/>
      <c r="Z46" s="794"/>
      <c r="AA46" s="794"/>
      <c r="AB46" s="794"/>
      <c r="AC46" s="794"/>
      <c r="AD46" s="794"/>
      <c r="AE46" s="794"/>
      <c r="AF46" s="794"/>
      <c r="AG46" s="794"/>
      <c r="AH46" s="795">
        <v>5</v>
      </c>
      <c r="AI46" s="795"/>
      <c r="AJ46" s="795"/>
      <c r="AK46" s="795"/>
      <c r="AL46" s="795"/>
      <c r="AM46" s="795"/>
      <c r="AN46" s="796">
        <f>'측정자 입력파일'!AA45</f>
        <v>3.5</v>
      </c>
      <c r="AO46" s="796"/>
      <c r="AP46" s="796"/>
      <c r="AQ46" s="796"/>
      <c r="AR46" s="796"/>
      <c r="AS46" s="796"/>
      <c r="AU46" s="794" t="s">
        <v>119</v>
      </c>
      <c r="AV46" s="794"/>
      <c r="AW46" s="794"/>
      <c r="AX46" s="794"/>
      <c r="AY46" s="794"/>
      <c r="AZ46" s="794"/>
      <c r="BA46" s="794"/>
      <c r="BB46" s="794"/>
      <c r="BC46" s="794"/>
      <c r="BD46" s="794"/>
      <c r="BE46" s="794"/>
      <c r="BF46" s="794"/>
      <c r="BG46" s="795">
        <v>5</v>
      </c>
      <c r="BH46" s="795"/>
      <c r="BI46" s="795"/>
      <c r="BJ46" s="795"/>
      <c r="BK46" s="795"/>
      <c r="BL46" s="795"/>
      <c r="BM46" s="796">
        <f>'측정자 입력파일'!U45</f>
        <v>0</v>
      </c>
      <c r="BN46" s="796"/>
      <c r="BO46" s="796"/>
      <c r="BP46" s="796"/>
      <c r="BQ46" s="796"/>
      <c r="BR46" s="796"/>
      <c r="BT46" s="794" t="s">
        <v>119</v>
      </c>
      <c r="BU46" s="794"/>
      <c r="BV46" s="794"/>
      <c r="BW46" s="794"/>
      <c r="BX46" s="794"/>
      <c r="BY46" s="794"/>
      <c r="BZ46" s="794"/>
      <c r="CA46" s="794"/>
      <c r="CB46" s="794"/>
      <c r="CC46" s="794"/>
      <c r="CD46" s="794"/>
      <c r="CE46" s="794"/>
      <c r="CF46" s="795">
        <v>5</v>
      </c>
      <c r="CG46" s="795"/>
      <c r="CH46" s="795"/>
      <c r="CI46" s="795"/>
      <c r="CJ46" s="795"/>
      <c r="CK46" s="795"/>
      <c r="CL46" s="796">
        <f>'측정자 입력파일'!W45</f>
        <v>0</v>
      </c>
      <c r="CM46" s="796"/>
      <c r="CN46" s="796"/>
      <c r="CO46" s="796"/>
      <c r="CP46" s="796"/>
      <c r="CQ46" s="796"/>
    </row>
    <row r="47" spans="22:95" ht="24" customHeight="1">
      <c r="V47" s="797" t="s">
        <v>122</v>
      </c>
      <c r="W47" s="797"/>
      <c r="X47" s="797"/>
      <c r="Y47" s="797"/>
      <c r="Z47" s="797"/>
      <c r="AA47" s="797"/>
      <c r="AB47" s="797"/>
      <c r="AC47" s="797"/>
      <c r="AD47" s="797"/>
      <c r="AE47" s="797"/>
      <c r="AF47" s="797"/>
      <c r="AG47" s="797"/>
      <c r="AH47" s="798">
        <v>10</v>
      </c>
      <c r="AI47" s="798"/>
      <c r="AJ47" s="798"/>
      <c r="AK47" s="798"/>
      <c r="AL47" s="798"/>
      <c r="AM47" s="798"/>
      <c r="AN47" s="793">
        <f>'측정자 입력파일'!AA48</f>
        <v>10</v>
      </c>
      <c r="AO47" s="793"/>
      <c r="AP47" s="793"/>
      <c r="AQ47" s="793"/>
      <c r="AR47" s="793"/>
      <c r="AS47" s="793"/>
      <c r="AU47" s="797" t="s">
        <v>122</v>
      </c>
      <c r="AV47" s="797"/>
      <c r="AW47" s="797"/>
      <c r="AX47" s="797"/>
      <c r="AY47" s="797"/>
      <c r="AZ47" s="797"/>
      <c r="BA47" s="797"/>
      <c r="BB47" s="797"/>
      <c r="BC47" s="797"/>
      <c r="BD47" s="797"/>
      <c r="BE47" s="797"/>
      <c r="BF47" s="797"/>
      <c r="BG47" s="798">
        <v>10</v>
      </c>
      <c r="BH47" s="798"/>
      <c r="BI47" s="798"/>
      <c r="BJ47" s="798"/>
      <c r="BK47" s="798"/>
      <c r="BL47" s="798"/>
      <c r="BM47" s="793">
        <f>'측정자 입력파일'!U48</f>
        <v>0</v>
      </c>
      <c r="BN47" s="793"/>
      <c r="BO47" s="793"/>
      <c r="BP47" s="793"/>
      <c r="BQ47" s="793"/>
      <c r="BR47" s="793"/>
      <c r="BT47" s="797" t="s">
        <v>122</v>
      </c>
      <c r="BU47" s="797"/>
      <c r="BV47" s="797"/>
      <c r="BW47" s="797"/>
      <c r="BX47" s="797"/>
      <c r="BY47" s="797"/>
      <c r="BZ47" s="797"/>
      <c r="CA47" s="797"/>
      <c r="CB47" s="797"/>
      <c r="CC47" s="797"/>
      <c r="CD47" s="797"/>
      <c r="CE47" s="797"/>
      <c r="CF47" s="798">
        <v>10</v>
      </c>
      <c r="CG47" s="798"/>
      <c r="CH47" s="798"/>
      <c r="CI47" s="798"/>
      <c r="CJ47" s="798"/>
      <c r="CK47" s="798"/>
      <c r="CL47" s="793">
        <f>'측정자 입력파일'!W48</f>
        <v>0</v>
      </c>
      <c r="CM47" s="793"/>
      <c r="CN47" s="793"/>
      <c r="CO47" s="793"/>
      <c r="CP47" s="793"/>
      <c r="CQ47" s="793"/>
    </row>
    <row r="48" spans="22:95" ht="24" customHeight="1">
      <c r="V48" s="790" t="s">
        <v>124</v>
      </c>
      <c r="W48" s="790"/>
      <c r="X48" s="790"/>
      <c r="Y48" s="790"/>
      <c r="Z48" s="790"/>
      <c r="AA48" s="790"/>
      <c r="AB48" s="790"/>
      <c r="AC48" s="790"/>
      <c r="AD48" s="790"/>
      <c r="AE48" s="790"/>
      <c r="AF48" s="790"/>
      <c r="AG48" s="790"/>
      <c r="AH48" s="791">
        <v>100</v>
      </c>
      <c r="AI48" s="791"/>
      <c r="AJ48" s="791"/>
      <c r="AK48" s="791"/>
      <c r="AL48" s="791"/>
      <c r="AM48" s="791"/>
      <c r="AN48" s="792">
        <f>SUM(AN34:AR47)</f>
        <v>90.1</v>
      </c>
      <c r="AO48" s="792"/>
      <c r="AP48" s="792"/>
      <c r="AQ48" s="792"/>
      <c r="AR48" s="792"/>
      <c r="AS48" s="792"/>
      <c r="AU48" s="790" t="s">
        <v>124</v>
      </c>
      <c r="AV48" s="790"/>
      <c r="AW48" s="790"/>
      <c r="AX48" s="790"/>
      <c r="AY48" s="790"/>
      <c r="AZ48" s="790"/>
      <c r="BA48" s="790"/>
      <c r="BB48" s="790"/>
      <c r="BC48" s="790"/>
      <c r="BD48" s="790"/>
      <c r="BE48" s="790"/>
      <c r="BF48" s="790"/>
      <c r="BG48" s="791">
        <v>100</v>
      </c>
      <c r="BH48" s="791"/>
      <c r="BI48" s="791"/>
      <c r="BJ48" s="791"/>
      <c r="BK48" s="791"/>
      <c r="BL48" s="791"/>
      <c r="BM48" s="792">
        <f>SUM(BM34:BQ47)</f>
        <v>0</v>
      </c>
      <c r="BN48" s="792"/>
      <c r="BO48" s="792"/>
      <c r="BP48" s="792"/>
      <c r="BQ48" s="792"/>
      <c r="BR48" s="792"/>
      <c r="BT48" s="790" t="s">
        <v>124</v>
      </c>
      <c r="BU48" s="790"/>
      <c r="BV48" s="790"/>
      <c r="BW48" s="790"/>
      <c r="BX48" s="790"/>
      <c r="BY48" s="790"/>
      <c r="BZ48" s="790"/>
      <c r="CA48" s="790"/>
      <c r="CB48" s="790"/>
      <c r="CC48" s="790"/>
      <c r="CD48" s="790"/>
      <c r="CE48" s="790"/>
      <c r="CF48" s="791">
        <v>100</v>
      </c>
      <c r="CG48" s="791"/>
      <c r="CH48" s="791"/>
      <c r="CI48" s="791"/>
      <c r="CJ48" s="791"/>
      <c r="CK48" s="791"/>
      <c r="CL48" s="792">
        <f>SUM(CL34:CP47)</f>
        <v>0</v>
      </c>
      <c r="CM48" s="792"/>
      <c r="CN48" s="792"/>
      <c r="CO48" s="792"/>
      <c r="CP48" s="792"/>
      <c r="CQ48" s="792"/>
    </row>
    <row r="49" spans="22:95" ht="17">
      <c r="V49" s="8"/>
      <c r="W49" s="8"/>
      <c r="X49" s="8"/>
      <c r="Y49" s="8"/>
      <c r="Z49" s="8"/>
      <c r="AA49" s="8"/>
      <c r="AB49" s="8"/>
      <c r="AC49" s="8"/>
      <c r="AD49" s="8"/>
      <c r="AE49" s="8"/>
      <c r="AF49" s="8"/>
      <c r="AG49" s="8"/>
      <c r="AH49" s="8"/>
      <c r="AI49" s="8"/>
      <c r="AJ49" s="8"/>
      <c r="AK49" s="8"/>
      <c r="AL49" s="8"/>
      <c r="AM49" s="8"/>
      <c r="AN49" s="8"/>
      <c r="AO49" s="8"/>
      <c r="AP49" s="8"/>
      <c r="AQ49" s="8"/>
      <c r="AR49" s="8"/>
      <c r="AS49" s="8"/>
      <c r="AU49" s="8"/>
      <c r="AV49" s="8"/>
      <c r="AW49" s="8"/>
      <c r="AX49" s="8"/>
      <c r="AY49" s="8"/>
      <c r="AZ49" s="8"/>
      <c r="BA49" s="8"/>
      <c r="BB49" s="8"/>
      <c r="BC49" s="8"/>
      <c r="BD49" s="8"/>
      <c r="BE49" s="8"/>
      <c r="BF49" s="8"/>
      <c r="BG49" s="8"/>
      <c r="BH49" s="8"/>
      <c r="BI49" s="8"/>
      <c r="BJ49" s="8"/>
      <c r="BK49" s="8"/>
      <c r="BL49" s="8"/>
      <c r="BM49" s="8"/>
      <c r="BN49" s="8"/>
      <c r="BO49" s="8"/>
      <c r="BP49" s="8"/>
      <c r="BQ49" s="8"/>
      <c r="BR49" s="8"/>
      <c r="BT49" s="8"/>
      <c r="BU49" s="8"/>
      <c r="BV49" s="8"/>
      <c r="BW49" s="8"/>
      <c r="BX49" s="8"/>
      <c r="BY49" s="8"/>
      <c r="BZ49" s="8"/>
      <c r="CA49" s="8"/>
      <c r="CB49" s="8"/>
      <c r="CC49" s="8"/>
      <c r="CD49" s="8"/>
      <c r="CE49" s="8"/>
      <c r="CF49" s="8"/>
      <c r="CG49" s="8"/>
      <c r="CH49" s="8"/>
      <c r="CI49" s="8"/>
      <c r="CJ49" s="8"/>
      <c r="CK49" s="8"/>
      <c r="CL49" s="8"/>
      <c r="CM49" s="8"/>
      <c r="CN49" s="8"/>
      <c r="CO49" s="8"/>
      <c r="CP49" s="8"/>
      <c r="CQ49" s="8"/>
    </row>
    <row r="50" spans="22:95" ht="25.5" customHeight="1">
      <c r="V50" s="790" t="s">
        <v>126</v>
      </c>
      <c r="W50" s="790"/>
      <c r="X50" s="790"/>
      <c r="Y50" s="790"/>
      <c r="Z50" s="790"/>
      <c r="AA50" s="790"/>
      <c r="AB50" s="790"/>
      <c r="AC50" s="790"/>
      <c r="AD50" s="790"/>
      <c r="AE50" s="790"/>
      <c r="AF50" s="790"/>
      <c r="AG50" s="790"/>
      <c r="AH50" s="793" t="str">
        <f>IF(AN48&gt;=90,"탁월",IF(AN48&gt;=75,"우수",IF(AN48&gt;=60,"양호",IF(AN48&gt;=45,"미흡","취약"))))</f>
        <v>탁월</v>
      </c>
      <c r="AI50" s="793"/>
      <c r="AJ50" s="793"/>
      <c r="AK50" s="793"/>
      <c r="AL50" s="793"/>
      <c r="AM50" s="793"/>
      <c r="AN50" s="793"/>
      <c r="AO50" s="793"/>
      <c r="AP50" s="793"/>
      <c r="AQ50" s="793"/>
      <c r="AR50" s="793"/>
      <c r="AS50" s="793"/>
      <c r="AU50" s="790" t="s">
        <v>126</v>
      </c>
      <c r="AV50" s="790"/>
      <c r="AW50" s="790"/>
      <c r="AX50" s="790"/>
      <c r="AY50" s="790"/>
      <c r="AZ50" s="790"/>
      <c r="BA50" s="790"/>
      <c r="BB50" s="790"/>
      <c r="BC50" s="790"/>
      <c r="BD50" s="790"/>
      <c r="BE50" s="790"/>
      <c r="BF50" s="790"/>
      <c r="BG50" s="793" t="str">
        <f>IF(BM48&gt;=90,"탁월",IF(BM48&gt;=75,"우수",IF(BM48&gt;=60,"양호",IF(BM48&gt;=45,"미흡","취약"))))</f>
        <v>취약</v>
      </c>
      <c r="BH50" s="793"/>
      <c r="BI50" s="793"/>
      <c r="BJ50" s="793"/>
      <c r="BK50" s="793"/>
      <c r="BL50" s="793"/>
      <c r="BM50" s="793"/>
      <c r="BN50" s="793"/>
      <c r="BO50" s="793"/>
      <c r="BP50" s="793"/>
      <c r="BQ50" s="793"/>
      <c r="BR50" s="793"/>
      <c r="BT50" s="790" t="s">
        <v>126</v>
      </c>
      <c r="BU50" s="790"/>
      <c r="BV50" s="790"/>
      <c r="BW50" s="790"/>
      <c r="BX50" s="790"/>
      <c r="BY50" s="790"/>
      <c r="BZ50" s="790"/>
      <c r="CA50" s="790"/>
      <c r="CB50" s="790"/>
      <c r="CC50" s="790"/>
      <c r="CD50" s="790"/>
      <c r="CE50" s="790"/>
      <c r="CF50" s="793" t="str">
        <f>IF(CL48&gt;=90,"탁월",IF(CL48&gt;=75,"우수",IF(CL48&gt;=60,"양호",IF(CL48&gt;=45,"미흡","취약"))))</f>
        <v>취약</v>
      </c>
      <c r="CG50" s="793"/>
      <c r="CH50" s="793"/>
      <c r="CI50" s="793"/>
      <c r="CJ50" s="793"/>
      <c r="CK50" s="793"/>
      <c r="CL50" s="793"/>
      <c r="CM50" s="793"/>
      <c r="CN50" s="793"/>
      <c r="CO50" s="793"/>
      <c r="CP50" s="793"/>
      <c r="CQ50" s="793"/>
    </row>
  </sheetData>
  <mergeCells count="213">
    <mergeCell ref="BT48:CE48"/>
    <mergeCell ref="CF48:CK48"/>
    <mergeCell ref="CL48:CQ48"/>
    <mergeCell ref="BT50:CE50"/>
    <mergeCell ref="CF50:CQ50"/>
    <mergeCell ref="E27:J27"/>
    <mergeCell ref="K27:L27"/>
    <mergeCell ref="M27:S27"/>
    <mergeCell ref="E29:J29"/>
    <mergeCell ref="K29:L29"/>
    <mergeCell ref="M29:S29"/>
    <mergeCell ref="BT45:CE45"/>
    <mergeCell ref="CF45:CK45"/>
    <mergeCell ref="CL45:CQ45"/>
    <mergeCell ref="BT46:CE46"/>
    <mergeCell ref="CF46:CK46"/>
    <mergeCell ref="CL46:CQ46"/>
    <mergeCell ref="BT47:CE47"/>
    <mergeCell ref="CF47:CK47"/>
    <mergeCell ref="CL47:CQ47"/>
    <mergeCell ref="BT42:CE42"/>
    <mergeCell ref="CF42:CK42"/>
    <mergeCell ref="CL42:CQ42"/>
    <mergeCell ref="BT43:CE43"/>
    <mergeCell ref="CF43:CK43"/>
    <mergeCell ref="CL43:CQ43"/>
    <mergeCell ref="BT44:CE44"/>
    <mergeCell ref="CF44:CK44"/>
    <mergeCell ref="CL44:CQ44"/>
    <mergeCell ref="BT39:CE39"/>
    <mergeCell ref="CF39:CK39"/>
    <mergeCell ref="CL39:CQ39"/>
    <mergeCell ref="BT40:CE40"/>
    <mergeCell ref="CF40:CK40"/>
    <mergeCell ref="CL40:CQ40"/>
    <mergeCell ref="BT41:CE41"/>
    <mergeCell ref="CF41:CK41"/>
    <mergeCell ref="CL41:CQ41"/>
    <mergeCell ref="BT36:CE36"/>
    <mergeCell ref="CF36:CK36"/>
    <mergeCell ref="CL36:CQ36"/>
    <mergeCell ref="BT37:CE37"/>
    <mergeCell ref="CF37:CK37"/>
    <mergeCell ref="CL37:CQ37"/>
    <mergeCell ref="BT38:CE38"/>
    <mergeCell ref="CF38:CK38"/>
    <mergeCell ref="CL38:CQ38"/>
    <mergeCell ref="BT33:CE33"/>
    <mergeCell ref="CF33:CK33"/>
    <mergeCell ref="CL33:CQ33"/>
    <mergeCell ref="BT34:CE34"/>
    <mergeCell ref="CF34:CK34"/>
    <mergeCell ref="CL34:CQ34"/>
    <mergeCell ref="BT35:CE35"/>
    <mergeCell ref="CF35:CK35"/>
    <mergeCell ref="CL35:CQ35"/>
    <mergeCell ref="V50:AG50"/>
    <mergeCell ref="AH50:AS50"/>
    <mergeCell ref="V46:AG46"/>
    <mergeCell ref="AH46:AM46"/>
    <mergeCell ref="AN46:AS46"/>
    <mergeCell ref="V47:AG47"/>
    <mergeCell ref="AH47:AM47"/>
    <mergeCell ref="AN47:AS47"/>
    <mergeCell ref="V48:AG48"/>
    <mergeCell ref="AH48:AM48"/>
    <mergeCell ref="AN48:AS48"/>
    <mergeCell ref="V45:AG45"/>
    <mergeCell ref="AH45:AM45"/>
    <mergeCell ref="AN45:AS45"/>
    <mergeCell ref="V43:AG43"/>
    <mergeCell ref="AH43:AM43"/>
    <mergeCell ref="AN43:AS43"/>
    <mergeCell ref="V44:AG44"/>
    <mergeCell ref="AH44:AM44"/>
    <mergeCell ref="AN44:AS44"/>
    <mergeCell ref="AH39:AM39"/>
    <mergeCell ref="AN39:AS39"/>
    <mergeCell ref="AN42:AS42"/>
    <mergeCell ref="AN35:AS35"/>
    <mergeCell ref="V36:AG36"/>
    <mergeCell ref="AH36:AM36"/>
    <mergeCell ref="AN36:AS36"/>
    <mergeCell ref="V40:AG40"/>
    <mergeCell ref="AH40:AM40"/>
    <mergeCell ref="AN40:AS40"/>
    <mergeCell ref="V38:AG38"/>
    <mergeCell ref="AH38:AM38"/>
    <mergeCell ref="AN38:AS38"/>
    <mergeCell ref="V39:AG39"/>
    <mergeCell ref="V41:AG41"/>
    <mergeCell ref="AH41:AM41"/>
    <mergeCell ref="AN41:AS41"/>
    <mergeCell ref="V42:AG42"/>
    <mergeCell ref="AH42:AM42"/>
    <mergeCell ref="V33:AG33"/>
    <mergeCell ref="V37:AG37"/>
    <mergeCell ref="AH37:AM37"/>
    <mergeCell ref="AN37:AS37"/>
    <mergeCell ref="AH33:AM33"/>
    <mergeCell ref="AN33:AS33"/>
    <mergeCell ref="V34:AG34"/>
    <mergeCell ref="AH34:AM34"/>
    <mergeCell ref="AN34:AS34"/>
    <mergeCell ref="V35:AG35"/>
    <mergeCell ref="AH35:AM35"/>
    <mergeCell ref="V28:Z28"/>
    <mergeCell ref="V29:Z29"/>
    <mergeCell ref="V30:Z30"/>
    <mergeCell ref="V31:Z31"/>
    <mergeCell ref="AH27:AL27"/>
    <mergeCell ref="AH28:AL28"/>
    <mergeCell ref="AH29:AL29"/>
    <mergeCell ref="AH30:AL30"/>
    <mergeCell ref="AA28:AG28"/>
    <mergeCell ref="AA31:AS31"/>
    <mergeCell ref="AA27:AG27"/>
    <mergeCell ref="AM27:AS27"/>
    <mergeCell ref="V27:Z27"/>
    <mergeCell ref="AM28:AS28"/>
    <mergeCell ref="AA29:AG29"/>
    <mergeCell ref="AM29:AS29"/>
    <mergeCell ref="AA30:AG30"/>
    <mergeCell ref="AM30:AS30"/>
    <mergeCell ref="K25:L25"/>
    <mergeCell ref="E25:J25"/>
    <mergeCell ref="M25:S25"/>
    <mergeCell ref="E10:I11"/>
    <mergeCell ref="J10:K11"/>
    <mergeCell ref="E12:I13"/>
    <mergeCell ref="J12:K13"/>
    <mergeCell ref="E14:I15"/>
    <mergeCell ref="J14:K15"/>
    <mergeCell ref="J19:K20"/>
    <mergeCell ref="M19:S19"/>
    <mergeCell ref="M20:S20"/>
    <mergeCell ref="M12:S12"/>
    <mergeCell ref="M14:S14"/>
    <mergeCell ref="D14:D15"/>
    <mergeCell ref="D22:D23"/>
    <mergeCell ref="E22:S23"/>
    <mergeCell ref="D10:D11"/>
    <mergeCell ref="D12:D13"/>
    <mergeCell ref="M11:S11"/>
    <mergeCell ref="M10:S10"/>
    <mergeCell ref="M13:S13"/>
    <mergeCell ref="M15:S15"/>
    <mergeCell ref="D17:D18"/>
    <mergeCell ref="E17:I18"/>
    <mergeCell ref="J17:K18"/>
    <mergeCell ref="M17:S17"/>
    <mergeCell ref="M18:S18"/>
    <mergeCell ref="D19:D20"/>
    <mergeCell ref="E19:I20"/>
    <mergeCell ref="E2:S2"/>
    <mergeCell ref="E3:K3"/>
    <mergeCell ref="M3:S3"/>
    <mergeCell ref="E5:S5"/>
    <mergeCell ref="E6:K6"/>
    <mergeCell ref="M6:S6"/>
    <mergeCell ref="E7:K7"/>
    <mergeCell ref="M7:S7"/>
    <mergeCell ref="E8:S8"/>
    <mergeCell ref="AU33:BF33"/>
    <mergeCell ref="BG33:BL33"/>
    <mergeCell ref="BM33:BR33"/>
    <mergeCell ref="AU34:BF34"/>
    <mergeCell ref="BG34:BL34"/>
    <mergeCell ref="BM34:BR34"/>
    <mergeCell ref="AU35:BF35"/>
    <mergeCell ref="BG35:BL35"/>
    <mergeCell ref="BM35:BR35"/>
    <mergeCell ref="AU36:BF36"/>
    <mergeCell ref="BG36:BL36"/>
    <mergeCell ref="BM36:BR36"/>
    <mergeCell ref="AU37:BF37"/>
    <mergeCell ref="BG37:BL37"/>
    <mergeCell ref="BM37:BR37"/>
    <mergeCell ref="AU38:BF38"/>
    <mergeCell ref="BG38:BL38"/>
    <mergeCell ref="BM38:BR38"/>
    <mergeCell ref="AU39:BF39"/>
    <mergeCell ref="BG39:BL39"/>
    <mergeCell ref="BM39:BR39"/>
    <mergeCell ref="AU40:BF40"/>
    <mergeCell ref="BG40:BL40"/>
    <mergeCell ref="BM40:BR40"/>
    <mergeCell ref="AU41:BF41"/>
    <mergeCell ref="BG41:BL41"/>
    <mergeCell ref="BM41:BR41"/>
    <mergeCell ref="AU42:BF42"/>
    <mergeCell ref="BG42:BL42"/>
    <mergeCell ref="BM42:BR42"/>
    <mergeCell ref="AU43:BF43"/>
    <mergeCell ref="BG43:BL43"/>
    <mergeCell ref="BM43:BR43"/>
    <mergeCell ref="AU44:BF44"/>
    <mergeCell ref="BG44:BL44"/>
    <mergeCell ref="BM44:BR44"/>
    <mergeCell ref="AU48:BF48"/>
    <mergeCell ref="BG48:BL48"/>
    <mergeCell ref="BM48:BR48"/>
    <mergeCell ref="AU50:BF50"/>
    <mergeCell ref="BG50:BR50"/>
    <mergeCell ref="AU45:BF45"/>
    <mergeCell ref="BG45:BL45"/>
    <mergeCell ref="BM45:BR45"/>
    <mergeCell ref="AU46:BF46"/>
    <mergeCell ref="BG46:BL46"/>
    <mergeCell ref="BM46:BR46"/>
    <mergeCell ref="AU47:BF47"/>
    <mergeCell ref="BG47:BL47"/>
    <mergeCell ref="BM47:BR47"/>
  </mergeCells>
  <phoneticPr fontId="56" type="noConversion"/>
  <pageMargins left="0.7" right="0.7" top="0.75" bottom="0.75" header="0.3" footer="0.3"/>
  <pageSetup paperSize="9" orientation="portrait" r:id="rId1"/>
  <ignoredErrors>
    <ignoredError sqref="AM28 AA31" unlockedFormula="1"/>
  </ignoredError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E063C4-D80B-414F-BC01-AA178FB3C5A2}">
  <sheetPr codeName="Sheet21"/>
  <dimension ref="A2:AC53"/>
  <sheetViews>
    <sheetView workbookViewId="0">
      <selection activeCell="H39" sqref="H39"/>
    </sheetView>
  </sheetViews>
  <sheetFormatPr baseColWidth="10" defaultColWidth="9" defaultRowHeight="15"/>
  <cols>
    <col min="1" max="1" width="24.3984375" customWidth="1"/>
    <col min="2" max="2" width="11.59765625" style="65" customWidth="1"/>
    <col min="5" max="5" width="10.3984375" style="65" customWidth="1"/>
    <col min="7" max="10" width="28.3984375" customWidth="1"/>
    <col min="11" max="11" width="46.19921875" style="413" customWidth="1"/>
    <col min="12" max="14" width="6.796875" style="413" customWidth="1"/>
    <col min="15" max="15" width="7.3984375" style="413" customWidth="1"/>
    <col min="16" max="28" width="6.796875" style="413" customWidth="1"/>
  </cols>
  <sheetData>
    <row r="2" spans="1:29" s="66" customFormat="1" ht="32">
      <c r="A2" s="67" t="s">
        <v>262</v>
      </c>
      <c r="B2" s="68" t="s">
        <v>271</v>
      </c>
      <c r="E2" s="73" t="s">
        <v>177</v>
      </c>
      <c r="G2" s="73" t="s">
        <v>403</v>
      </c>
      <c r="K2" s="400"/>
      <c r="L2" s="400"/>
      <c r="M2" s="400"/>
      <c r="N2" s="400"/>
      <c r="O2" s="400"/>
      <c r="P2" s="400"/>
      <c r="Q2" s="400"/>
      <c r="R2" s="400"/>
      <c r="S2" s="400"/>
      <c r="T2" s="400"/>
      <c r="U2" s="400"/>
      <c r="V2" s="400"/>
      <c r="W2" s="400"/>
      <c r="X2" s="400"/>
      <c r="Y2" s="400"/>
      <c r="Z2" s="400"/>
      <c r="AA2" s="400"/>
      <c r="AB2" s="400"/>
    </row>
    <row r="3" spans="1:29" ht="12.75" customHeight="1">
      <c r="A3" s="69" t="s">
        <v>261</v>
      </c>
      <c r="B3" s="70" t="s">
        <v>269</v>
      </c>
      <c r="E3" s="74" t="s">
        <v>290</v>
      </c>
      <c r="G3" s="294" t="str">
        <f>'측정자 입력파일'!D9  &amp; " 사무실"</f>
        <v>갓피플주식회사 사무실</v>
      </c>
      <c r="H3" s="66"/>
      <c r="I3" s="66"/>
      <c r="J3" s="66"/>
      <c r="K3" s="45" t="str">
        <f>'보고서 데이터'!AA27</f>
        <v>갓피플주식회사</v>
      </c>
      <c r="L3" s="45"/>
      <c r="M3" s="45"/>
      <c r="N3" s="45"/>
      <c r="O3" s="45"/>
      <c r="P3" s="45"/>
      <c r="Q3" s="401" t="s">
        <v>131</v>
      </c>
      <c r="R3" s="401" t="s">
        <v>132</v>
      </c>
      <c r="S3" s="45"/>
      <c r="T3" s="401" t="s">
        <v>133</v>
      </c>
      <c r="U3" s="45"/>
      <c r="V3" s="401" t="s">
        <v>134</v>
      </c>
      <c r="W3" s="45"/>
      <c r="X3" s="402" t="s">
        <v>135</v>
      </c>
      <c r="Y3" s="403" t="s">
        <v>86</v>
      </c>
      <c r="Z3" s="404">
        <v>60</v>
      </c>
      <c r="AA3" s="404">
        <v>30</v>
      </c>
      <c r="AB3" s="404">
        <v>10</v>
      </c>
      <c r="AC3" s="10"/>
    </row>
    <row r="4" spans="1:29" ht="12.75" customHeight="1">
      <c r="A4" s="69" t="s">
        <v>264</v>
      </c>
      <c r="B4" s="70" t="s">
        <v>270</v>
      </c>
      <c r="E4" s="74" t="s">
        <v>273</v>
      </c>
      <c r="G4" s="294" t="s">
        <v>398</v>
      </c>
      <c r="H4" s="66"/>
      <c r="I4" s="66"/>
      <c r="J4" s="66"/>
      <c r="K4" s="405">
        <f>'보고서 데이터'!AN48</f>
        <v>90.1</v>
      </c>
      <c r="L4" s="45"/>
      <c r="M4" s="45"/>
      <c r="N4" s="45"/>
      <c r="O4" s="45"/>
      <c r="P4" s="45"/>
      <c r="Q4" s="403" t="str">
        <f>'보고서 데이터'!AA27</f>
        <v>갓피플주식회사</v>
      </c>
      <c r="R4" s="406">
        <f>SUM('보고서 데이터'!AN34:AR42)</f>
        <v>59</v>
      </c>
      <c r="S4" s="407">
        <f>Z3-R4</f>
        <v>1</v>
      </c>
      <c r="T4" s="406">
        <f>SUM('보고서 데이터'!AN43:AR46)</f>
        <v>21.1</v>
      </c>
      <c r="U4" s="407">
        <f>AA3-T4</f>
        <v>8.8999999999999986</v>
      </c>
      <c r="V4" s="406">
        <f>'보고서 데이터'!AN47</f>
        <v>10</v>
      </c>
      <c r="W4" s="408">
        <f>10-V4</f>
        <v>0</v>
      </c>
      <c r="X4" s="409" t="str">
        <f>HLOOKUP(MIN(Z4:AB5),Z4:AB5,2,0)</f>
        <v>경제적 성과</v>
      </c>
      <c r="Y4" s="403" t="s">
        <v>142</v>
      </c>
      <c r="Z4" s="410">
        <f>R4/Z3</f>
        <v>0.98333333333333328</v>
      </c>
      <c r="AA4" s="410">
        <f>T4/AA3</f>
        <v>0.70333333333333337</v>
      </c>
      <c r="AB4" s="410">
        <f>V4/AB3</f>
        <v>1</v>
      </c>
      <c r="AC4" s="10"/>
    </row>
    <row r="5" spans="1:29" ht="12.75" customHeight="1">
      <c r="A5" s="69" t="s">
        <v>263</v>
      </c>
      <c r="B5" s="70" t="s">
        <v>269</v>
      </c>
      <c r="E5" s="74" t="s">
        <v>295</v>
      </c>
      <c r="G5" s="294" t="s">
        <v>401</v>
      </c>
      <c r="H5" s="66"/>
      <c r="I5" s="66"/>
      <c r="J5" s="66"/>
      <c r="K5" s="45"/>
      <c r="L5" s="45"/>
      <c r="M5" s="45"/>
      <c r="N5" s="45"/>
      <c r="O5" s="45"/>
      <c r="P5" s="45"/>
      <c r="Q5" s="45"/>
      <c r="R5" s="45"/>
      <c r="S5" s="45"/>
      <c r="T5" s="45"/>
      <c r="U5" s="45"/>
      <c r="V5" s="45"/>
      <c r="W5" s="45"/>
      <c r="X5" s="45"/>
      <c r="Y5" s="45"/>
      <c r="Z5" s="411" t="s">
        <v>132</v>
      </c>
      <c r="AA5" s="411" t="s">
        <v>133</v>
      </c>
      <c r="AB5" s="411" t="s">
        <v>134</v>
      </c>
      <c r="AC5" s="10"/>
    </row>
    <row r="6" spans="1:29" ht="12.75" customHeight="1">
      <c r="A6" s="69" t="s">
        <v>266</v>
      </c>
      <c r="B6" s="70" t="s">
        <v>270</v>
      </c>
      <c r="E6" s="74" t="s">
        <v>280</v>
      </c>
      <c r="G6" s="294" t="s">
        <v>400</v>
      </c>
      <c r="H6" s="66"/>
      <c r="I6" s="66"/>
      <c r="J6" s="66"/>
      <c r="K6" s="45"/>
      <c r="L6" s="45"/>
      <c r="M6" s="45"/>
      <c r="N6" s="45"/>
      <c r="O6" s="45"/>
      <c r="P6" s="45"/>
      <c r="Q6" s="45"/>
      <c r="R6" s="45"/>
      <c r="S6" s="45"/>
      <c r="T6" s="45"/>
      <c r="U6" s="45"/>
      <c r="V6" s="45"/>
      <c r="W6" s="45"/>
      <c r="X6" s="45"/>
      <c r="Y6" s="45"/>
      <c r="Z6" s="45"/>
      <c r="AA6" s="45"/>
      <c r="AB6" s="45"/>
      <c r="AC6" s="10"/>
    </row>
    <row r="7" spans="1:29" ht="12.75" customHeight="1">
      <c r="A7" s="69" t="s">
        <v>267</v>
      </c>
      <c r="B7" s="70" t="s">
        <v>270</v>
      </c>
      <c r="E7" s="74" t="s">
        <v>285</v>
      </c>
      <c r="G7" s="294" t="s">
        <v>402</v>
      </c>
      <c r="H7" s="66"/>
      <c r="I7" s="66"/>
      <c r="J7" s="66"/>
      <c r="K7" s="45"/>
      <c r="L7" s="45"/>
      <c r="M7" s="45"/>
      <c r="N7" s="45"/>
      <c r="O7" s="45"/>
      <c r="P7" s="45"/>
      <c r="Q7" s="845" t="s">
        <v>74</v>
      </c>
      <c r="R7" s="845"/>
      <c r="S7" s="412" t="str">
        <f>'보고서 데이터'!AA29</f>
        <v>사업시설 관리, 사업 지원 및 임대 서비스업(N)</v>
      </c>
      <c r="T7" s="45"/>
      <c r="U7" s="45"/>
      <c r="V7" s="45"/>
      <c r="W7" s="45"/>
      <c r="X7" s="45"/>
      <c r="Y7" s="45"/>
      <c r="Z7" s="45"/>
      <c r="AA7" s="45"/>
      <c r="AB7" s="45"/>
      <c r="AC7" s="10"/>
    </row>
    <row r="8" spans="1:29" ht="12.75" customHeight="1">
      <c r="A8" s="69" t="s">
        <v>265</v>
      </c>
      <c r="B8" s="70" t="s">
        <v>269</v>
      </c>
      <c r="E8" s="74" t="s">
        <v>291</v>
      </c>
      <c r="G8" s="66"/>
      <c r="H8" s="66"/>
      <c r="I8" s="66"/>
      <c r="J8" s="66"/>
    </row>
    <row r="9" spans="1:29" ht="12.75" customHeight="1">
      <c r="A9" s="71" t="s">
        <v>268</v>
      </c>
      <c r="B9" s="72" t="s">
        <v>270</v>
      </c>
      <c r="E9" s="74" t="s">
        <v>293</v>
      </c>
      <c r="G9" s="66"/>
      <c r="H9" s="66"/>
      <c r="I9" s="66"/>
      <c r="J9" s="66"/>
    </row>
    <row r="10" spans="1:29" ht="12.75" customHeight="1">
      <c r="E10" s="74" t="s">
        <v>284</v>
      </c>
      <c r="G10" s="66"/>
      <c r="H10" s="66"/>
      <c r="I10" s="66"/>
      <c r="J10" s="66"/>
      <c r="V10" s="413" t="s">
        <v>499</v>
      </c>
      <c r="W10" s="413" t="s">
        <v>500</v>
      </c>
    </row>
    <row r="11" spans="1:29" ht="12.75" customHeight="1">
      <c r="A11" s="73" t="s">
        <v>303</v>
      </c>
      <c r="E11" s="74" t="s">
        <v>286</v>
      </c>
      <c r="G11" s="66"/>
      <c r="H11" s="66"/>
      <c r="I11" s="66"/>
      <c r="J11" s="66"/>
      <c r="K11" s="403" t="s">
        <v>143</v>
      </c>
      <c r="L11" s="403" t="s">
        <v>144</v>
      </c>
      <c r="M11" s="45" t="s">
        <v>145</v>
      </c>
      <c r="N11" s="414" t="str">
        <f>'보고서 데이터'!AA27</f>
        <v>갓피플주식회사</v>
      </c>
      <c r="O11" s="415" t="s">
        <v>357</v>
      </c>
      <c r="P11" s="45" t="str">
        <f>'보고서 데이터'!AA27</f>
        <v>갓피플주식회사</v>
      </c>
      <c r="Q11" s="45"/>
      <c r="R11" s="45"/>
      <c r="U11" s="416" t="s">
        <v>162</v>
      </c>
      <c r="V11" s="405">
        <v>92.85</v>
      </c>
      <c r="W11" s="413">
        <v>92.130612244897989</v>
      </c>
    </row>
    <row r="12" spans="1:29" ht="12.75" customHeight="1">
      <c r="A12" s="75" t="s">
        <v>354</v>
      </c>
      <c r="E12" s="74" t="s">
        <v>301</v>
      </c>
      <c r="G12" s="66"/>
      <c r="H12" s="66"/>
      <c r="I12" s="66"/>
      <c r="J12" s="66"/>
      <c r="K12" s="411" t="s">
        <v>49</v>
      </c>
      <c r="L12" s="417" t="s">
        <v>146</v>
      </c>
      <c r="M12" s="418">
        <v>2</v>
      </c>
      <c r="N12" s="419">
        <f>'보고서 데이터'!AN34</f>
        <v>2</v>
      </c>
      <c r="O12" s="420">
        <v>100</v>
      </c>
      <c r="P12" s="421">
        <f t="shared" ref="P12:P25" si="0">(N12/M12)*100</f>
        <v>100</v>
      </c>
      <c r="Q12" s="422"/>
      <c r="R12" s="422"/>
      <c r="U12" s="416" t="s">
        <v>163</v>
      </c>
      <c r="V12" s="405">
        <v>80.813636363636377</v>
      </c>
      <c r="W12" s="413">
        <v>80.675457875457894</v>
      </c>
    </row>
    <row r="13" spans="1:29" ht="12.75" customHeight="1">
      <c r="A13" s="76" t="s">
        <v>355</v>
      </c>
      <c r="E13" s="74" t="s">
        <v>278</v>
      </c>
      <c r="G13" s="66"/>
      <c r="H13" s="66"/>
      <c r="I13" s="66"/>
      <c r="J13" s="66"/>
      <c r="K13" s="411" t="s">
        <v>95</v>
      </c>
      <c r="L13" s="411" t="s">
        <v>147</v>
      </c>
      <c r="M13" s="418">
        <v>5</v>
      </c>
      <c r="N13" s="419">
        <f>'보고서 데이터'!AN35</f>
        <v>5</v>
      </c>
      <c r="O13" s="420">
        <v>82.9</v>
      </c>
      <c r="P13" s="421">
        <f t="shared" si="0"/>
        <v>100</v>
      </c>
      <c r="Q13" s="45"/>
      <c r="R13" s="45"/>
      <c r="U13" s="416" t="s">
        <v>358</v>
      </c>
      <c r="V13" s="405">
        <v>67.442857142857136</v>
      </c>
      <c r="W13" s="413">
        <v>66.783272727272774</v>
      </c>
    </row>
    <row r="14" spans="1:29" ht="12.75" customHeight="1">
      <c r="A14" s="76" t="s">
        <v>453</v>
      </c>
      <c r="E14" s="74" t="s">
        <v>279</v>
      </c>
      <c r="K14" s="411" t="s">
        <v>52</v>
      </c>
      <c r="L14" s="411" t="s">
        <v>148</v>
      </c>
      <c r="M14" s="418">
        <v>15</v>
      </c>
      <c r="N14" s="419">
        <f>'보고서 데이터'!AN36</f>
        <v>14</v>
      </c>
      <c r="O14" s="420">
        <v>79.8</v>
      </c>
      <c r="P14" s="421">
        <f t="shared" si="0"/>
        <v>93.333333333333329</v>
      </c>
      <c r="Q14" s="45"/>
      <c r="R14" s="45"/>
      <c r="U14" s="416" t="s">
        <v>164</v>
      </c>
      <c r="V14" s="405">
        <v>50.486486486486498</v>
      </c>
      <c r="W14" s="413">
        <v>52.268181818181787</v>
      </c>
    </row>
    <row r="15" spans="1:29" ht="12.75" customHeight="1">
      <c r="E15" s="74" t="s">
        <v>276</v>
      </c>
      <c r="K15" s="411" t="s">
        <v>149</v>
      </c>
      <c r="L15" s="411" t="s">
        <v>98</v>
      </c>
      <c r="M15" s="418">
        <v>5</v>
      </c>
      <c r="N15" s="419">
        <f>'보고서 데이터'!AN37</f>
        <v>5</v>
      </c>
      <c r="O15" s="420">
        <v>85.4</v>
      </c>
      <c r="P15" s="421">
        <f t="shared" si="0"/>
        <v>100</v>
      </c>
      <c r="Q15" s="45"/>
      <c r="R15" s="45"/>
      <c r="U15" s="416" t="s">
        <v>359</v>
      </c>
      <c r="V15" s="405">
        <v>26.107894736842134</v>
      </c>
      <c r="W15" s="413">
        <v>28.657391304347808</v>
      </c>
    </row>
    <row r="16" spans="1:29" ht="12.75" customHeight="1">
      <c r="A16" s="73" t="s">
        <v>304</v>
      </c>
      <c r="E16" s="74" t="s">
        <v>282</v>
      </c>
      <c r="K16" s="411" t="s">
        <v>150</v>
      </c>
      <c r="L16" s="411" t="s">
        <v>121</v>
      </c>
      <c r="M16" s="418">
        <v>5</v>
      </c>
      <c r="N16" s="419">
        <f>'보고서 데이터'!AN38</f>
        <v>5</v>
      </c>
      <c r="O16" s="420">
        <v>88.6</v>
      </c>
      <c r="P16" s="421">
        <f t="shared" si="0"/>
        <v>100</v>
      </c>
      <c r="Q16" s="45"/>
      <c r="R16" s="45"/>
    </row>
    <row r="17" spans="1:18" ht="12.75" customHeight="1">
      <c r="A17" s="75" t="s">
        <v>305</v>
      </c>
      <c r="E17" s="74" t="s">
        <v>277</v>
      </c>
      <c r="K17" s="411" t="s">
        <v>151</v>
      </c>
      <c r="L17" s="411" t="s">
        <v>152</v>
      </c>
      <c r="M17" s="418">
        <v>10</v>
      </c>
      <c r="N17" s="419">
        <f>'보고서 데이터'!AN39</f>
        <v>10</v>
      </c>
      <c r="O17" s="420">
        <v>70.599999999999994</v>
      </c>
      <c r="P17" s="421">
        <f t="shared" si="0"/>
        <v>100</v>
      </c>
      <c r="Q17" s="45"/>
      <c r="R17" s="45"/>
    </row>
    <row r="18" spans="1:18" ht="12.75" customHeight="1">
      <c r="A18" s="76" t="s">
        <v>476</v>
      </c>
      <c r="E18" s="74" t="s">
        <v>294</v>
      </c>
      <c r="K18" s="411" t="s">
        <v>153</v>
      </c>
      <c r="L18" s="411" t="s">
        <v>108</v>
      </c>
      <c r="M18" s="418">
        <v>5</v>
      </c>
      <c r="N18" s="419">
        <f>'보고서 데이터'!AN40</f>
        <v>5</v>
      </c>
      <c r="O18" s="420">
        <v>80</v>
      </c>
      <c r="P18" s="421">
        <f t="shared" si="0"/>
        <v>100</v>
      </c>
      <c r="Q18" s="45"/>
      <c r="R18" s="45"/>
    </row>
    <row r="19" spans="1:18" ht="12.75" customHeight="1">
      <c r="A19" s="75" t="s">
        <v>477</v>
      </c>
      <c r="E19" s="74" t="s">
        <v>288</v>
      </c>
      <c r="K19" s="411" t="s">
        <v>154</v>
      </c>
      <c r="L19" s="411" t="s">
        <v>155</v>
      </c>
      <c r="M19" s="418">
        <v>8</v>
      </c>
      <c r="N19" s="419">
        <f>'보고서 데이터'!AN41</f>
        <v>8</v>
      </c>
      <c r="O19" s="420">
        <v>65</v>
      </c>
      <c r="P19" s="421">
        <f t="shared" si="0"/>
        <v>100</v>
      </c>
      <c r="Q19" s="45"/>
      <c r="R19" s="45"/>
    </row>
    <row r="20" spans="1:18" ht="12.75" customHeight="1">
      <c r="A20" s="76" t="s">
        <v>478</v>
      </c>
      <c r="E20" s="74" t="s">
        <v>272</v>
      </c>
      <c r="K20" s="411" t="s">
        <v>156</v>
      </c>
      <c r="L20" s="411" t="s">
        <v>157</v>
      </c>
      <c r="M20" s="418">
        <v>5</v>
      </c>
      <c r="N20" s="419">
        <f>'보고서 데이터'!AN42</f>
        <v>5</v>
      </c>
      <c r="O20" s="420">
        <v>65.900000000000006</v>
      </c>
      <c r="P20" s="421">
        <f t="shared" si="0"/>
        <v>100</v>
      </c>
      <c r="Q20" s="45"/>
      <c r="R20" s="45"/>
    </row>
    <row r="21" spans="1:18" ht="12.75" customHeight="1">
      <c r="A21" s="75" t="s">
        <v>479</v>
      </c>
      <c r="E21" s="74" t="s">
        <v>297</v>
      </c>
      <c r="K21" s="411" t="s">
        <v>158</v>
      </c>
      <c r="L21" s="411" t="s">
        <v>102</v>
      </c>
      <c r="M21" s="418">
        <v>10</v>
      </c>
      <c r="N21" s="419">
        <f>'보고서 데이터'!AN43</f>
        <v>7.3</v>
      </c>
      <c r="O21" s="420">
        <v>69.2</v>
      </c>
      <c r="P21" s="421">
        <f t="shared" si="0"/>
        <v>73</v>
      </c>
      <c r="Q21" s="45"/>
      <c r="R21" s="45"/>
    </row>
    <row r="22" spans="1:18" ht="12.75" customHeight="1">
      <c r="A22" s="65"/>
      <c r="E22" s="74" t="s">
        <v>296</v>
      </c>
      <c r="K22" s="411" t="s">
        <v>117</v>
      </c>
      <c r="L22" s="411" t="s">
        <v>118</v>
      </c>
      <c r="M22" s="418">
        <v>10</v>
      </c>
      <c r="N22" s="419">
        <f>'보고서 데이터'!AN44</f>
        <v>6.8</v>
      </c>
      <c r="O22" s="420">
        <v>72.400000000000006</v>
      </c>
      <c r="P22" s="421">
        <f t="shared" si="0"/>
        <v>68</v>
      </c>
      <c r="Q22" s="45"/>
      <c r="R22" s="45"/>
    </row>
    <row r="23" spans="1:18" ht="12.75" customHeight="1">
      <c r="E23" s="74" t="s">
        <v>298</v>
      </c>
      <c r="K23" s="411" t="s">
        <v>127</v>
      </c>
      <c r="L23" s="411" t="s">
        <v>128</v>
      </c>
      <c r="M23" s="418">
        <v>5</v>
      </c>
      <c r="N23" s="419">
        <f>'보고서 데이터'!AN45</f>
        <v>3.5</v>
      </c>
      <c r="O23" s="420">
        <v>65.7</v>
      </c>
      <c r="P23" s="421">
        <f t="shared" si="0"/>
        <v>70</v>
      </c>
      <c r="Q23" s="45"/>
      <c r="R23" s="45"/>
    </row>
    <row r="24" spans="1:18" ht="12.75" customHeight="1">
      <c r="A24" s="73" t="s">
        <v>309</v>
      </c>
      <c r="B24" s="197" t="s">
        <v>342</v>
      </c>
      <c r="C24" s="197" t="s">
        <v>342</v>
      </c>
      <c r="E24" s="74" t="s">
        <v>299</v>
      </c>
      <c r="K24" s="411" t="s">
        <v>129</v>
      </c>
      <c r="L24" s="411" t="s">
        <v>159</v>
      </c>
      <c r="M24" s="418">
        <v>5</v>
      </c>
      <c r="N24" s="419">
        <f>'보고서 데이터'!AN46</f>
        <v>3.5</v>
      </c>
      <c r="O24" s="420">
        <v>64.099999999999994</v>
      </c>
      <c r="P24" s="421">
        <f t="shared" si="0"/>
        <v>70</v>
      </c>
      <c r="Q24" s="45"/>
      <c r="R24" s="45"/>
    </row>
    <row r="25" spans="1:18" ht="12.75" customHeight="1">
      <c r="A25" s="78" t="s">
        <v>15</v>
      </c>
      <c r="B25" s="127">
        <v>1</v>
      </c>
      <c r="C25" s="127">
        <v>21</v>
      </c>
      <c r="E25" s="74" t="s">
        <v>274</v>
      </c>
      <c r="K25" s="411" t="s">
        <v>160</v>
      </c>
      <c r="L25" s="411" t="s">
        <v>161</v>
      </c>
      <c r="M25" s="418">
        <v>10</v>
      </c>
      <c r="N25" s="419">
        <f>'보고서 데이터'!AN47</f>
        <v>10</v>
      </c>
      <c r="O25" s="420">
        <v>82.8</v>
      </c>
      <c r="P25" s="421">
        <f t="shared" si="0"/>
        <v>100</v>
      </c>
      <c r="Q25" s="45"/>
      <c r="R25" s="45"/>
    </row>
    <row r="26" spans="1:18" ht="12.75" customHeight="1">
      <c r="A26" s="78" t="s">
        <v>10</v>
      </c>
      <c r="B26" s="127">
        <v>2</v>
      </c>
      <c r="C26" s="127">
        <v>22</v>
      </c>
      <c r="E26" s="74" t="s">
        <v>302</v>
      </c>
      <c r="L26" s="429" t="s">
        <v>501</v>
      </c>
      <c r="M26" s="429" t="s">
        <v>500</v>
      </c>
    </row>
    <row r="27" spans="1:18" ht="12.75" customHeight="1">
      <c r="A27" s="78" t="s">
        <v>306</v>
      </c>
      <c r="B27" s="127">
        <v>3</v>
      </c>
      <c r="C27" s="127">
        <v>23</v>
      </c>
      <c r="E27" s="74" t="s">
        <v>287</v>
      </c>
      <c r="K27" s="423" t="s">
        <v>486</v>
      </c>
      <c r="L27" s="423" t="s">
        <v>487</v>
      </c>
    </row>
    <row r="28" spans="1:18" ht="12.75" customHeight="1">
      <c r="A28" s="78" t="s">
        <v>11</v>
      </c>
      <c r="B28" s="127">
        <v>4</v>
      </c>
      <c r="C28" s="127">
        <v>24</v>
      </c>
      <c r="E28" s="74" t="s">
        <v>292</v>
      </c>
      <c r="K28" s="423" t="str">
        <f>'측정자 입력파일'!D9</f>
        <v>갓피플주식회사</v>
      </c>
      <c r="L28" s="430">
        <f>'측정자 입력파일'!AA51</f>
        <v>90.1</v>
      </c>
    </row>
    <row r="29" spans="1:18" ht="12.75" customHeight="1">
      <c r="A29" s="78" t="s">
        <v>307</v>
      </c>
      <c r="B29" s="127">
        <v>5</v>
      </c>
      <c r="C29" s="127">
        <v>25</v>
      </c>
      <c r="E29" s="74" t="s">
        <v>281</v>
      </c>
      <c r="K29" s="423" t="s">
        <v>488</v>
      </c>
      <c r="L29" s="431">
        <v>53.29999999999999</v>
      </c>
      <c r="M29" s="429">
        <v>51.576000000000001</v>
      </c>
    </row>
    <row r="30" spans="1:18" ht="12.75" customHeight="1">
      <c r="A30" s="78" t="s">
        <v>308</v>
      </c>
      <c r="B30" s="127">
        <v>6</v>
      </c>
      <c r="C30" s="127">
        <v>26</v>
      </c>
      <c r="E30" s="74" t="s">
        <v>283</v>
      </c>
      <c r="K30" s="423" t="s">
        <v>0</v>
      </c>
      <c r="L30" s="431">
        <v>54.02121212121213</v>
      </c>
      <c r="M30" s="429">
        <v>63.650212765957448</v>
      </c>
    </row>
    <row r="31" spans="1:18" ht="12.75" customHeight="1">
      <c r="A31" s="78" t="s">
        <v>16</v>
      </c>
      <c r="B31" s="127">
        <v>7</v>
      </c>
      <c r="C31" s="127">
        <v>27</v>
      </c>
      <c r="E31" s="74" t="s">
        <v>300</v>
      </c>
      <c r="K31" s="423" t="s">
        <v>503</v>
      </c>
      <c r="L31" s="431">
        <v>44</v>
      </c>
      <c r="M31" s="429">
        <v>42.375</v>
      </c>
    </row>
    <row r="32" spans="1:18" ht="12.75" customHeight="1">
      <c r="A32" s="78" t="s">
        <v>13</v>
      </c>
      <c r="B32" s="127">
        <v>8</v>
      </c>
      <c r="C32" s="127">
        <v>28</v>
      </c>
      <c r="E32" s="74" t="s">
        <v>275</v>
      </c>
      <c r="K32" s="423" t="s">
        <v>489</v>
      </c>
      <c r="L32" s="431">
        <v>64.8</v>
      </c>
      <c r="M32" s="429">
        <v>66.350000000000009</v>
      </c>
    </row>
    <row r="33" spans="1:28" ht="12.75" customHeight="1">
      <c r="A33" s="78" t="s">
        <v>14</v>
      </c>
      <c r="B33" s="127">
        <v>9</v>
      </c>
      <c r="C33" s="127">
        <v>29</v>
      </c>
      <c r="E33" s="74" t="s">
        <v>289</v>
      </c>
      <c r="K33" s="423" t="s">
        <v>504</v>
      </c>
      <c r="L33" s="431">
        <v>49.79999999999999</v>
      </c>
      <c r="M33" s="429">
        <v>59.711111111111094</v>
      </c>
    </row>
    <row r="34" spans="1:28">
      <c r="A34" s="78" t="s">
        <v>17</v>
      </c>
      <c r="B34" s="127">
        <v>10</v>
      </c>
      <c r="C34" s="127">
        <v>30</v>
      </c>
      <c r="K34" s="423" t="s">
        <v>490</v>
      </c>
      <c r="L34" s="431">
        <v>52.466666666666669</v>
      </c>
      <c r="M34" s="429">
        <v>62.1</v>
      </c>
    </row>
    <row r="35" spans="1:28">
      <c r="A35" s="78" t="s">
        <v>18</v>
      </c>
      <c r="B35" s="127">
        <v>11</v>
      </c>
      <c r="C35" s="127">
        <v>31</v>
      </c>
      <c r="K35" s="423" t="s">
        <v>502</v>
      </c>
      <c r="L35" s="431">
        <v>46.771428571428565</v>
      </c>
      <c r="M35" s="429">
        <v>46.118918918918915</v>
      </c>
    </row>
    <row r="36" spans="1:28">
      <c r="A36" s="78" t="s">
        <v>19</v>
      </c>
      <c r="B36" s="127">
        <v>12</v>
      </c>
      <c r="C36" s="127">
        <v>32</v>
      </c>
      <c r="K36" s="423" t="s">
        <v>505</v>
      </c>
      <c r="L36" s="431">
        <v>61.8</v>
      </c>
      <c r="M36" s="429">
        <v>61.6</v>
      </c>
    </row>
    <row r="37" spans="1:28">
      <c r="A37" s="78" t="s">
        <v>20</v>
      </c>
      <c r="B37" s="127">
        <v>13</v>
      </c>
      <c r="C37" s="127">
        <v>33</v>
      </c>
      <c r="K37" s="423" t="s">
        <v>491</v>
      </c>
      <c r="L37" s="431">
        <v>39.08</v>
      </c>
      <c r="M37" s="429">
        <v>57.480000000000011</v>
      </c>
    </row>
    <row r="38" spans="1:28">
      <c r="A38" s="78" t="s">
        <v>28</v>
      </c>
      <c r="B38" s="127">
        <v>14</v>
      </c>
      <c r="C38" s="127">
        <v>34</v>
      </c>
      <c r="K38" s="423" t="s">
        <v>450</v>
      </c>
      <c r="L38" s="431">
        <v>61.234782608695646</v>
      </c>
      <c r="M38" s="429">
        <v>62.373333333333321</v>
      </c>
    </row>
    <row r="39" spans="1:28">
      <c r="A39" s="78" t="s">
        <v>21</v>
      </c>
      <c r="B39" s="127">
        <v>15</v>
      </c>
      <c r="C39" s="127">
        <v>35</v>
      </c>
      <c r="K39" s="423" t="s">
        <v>492</v>
      </c>
      <c r="L39" s="431">
        <v>53.986440677966122</v>
      </c>
      <c r="M39" s="429">
        <v>59.544262295081971</v>
      </c>
    </row>
    <row r="40" spans="1:28">
      <c r="A40" s="78" t="s">
        <v>22</v>
      </c>
      <c r="B40" s="127">
        <v>16</v>
      </c>
      <c r="C40" s="127">
        <v>36</v>
      </c>
      <c r="K40" s="423" t="s">
        <v>493</v>
      </c>
      <c r="L40" s="431">
        <v>61.656000000000013</v>
      </c>
      <c r="M40" s="429">
        <v>67.512499999999989</v>
      </c>
    </row>
    <row r="41" spans="1:28">
      <c r="A41" s="78" t="s">
        <v>23</v>
      </c>
      <c r="B41" s="127">
        <v>17</v>
      </c>
      <c r="C41" s="127">
        <v>37</v>
      </c>
      <c r="K41" s="423" t="s">
        <v>1</v>
      </c>
      <c r="L41" s="431">
        <v>61.485714285714302</v>
      </c>
      <c r="M41" s="429">
        <v>60.389743589743588</v>
      </c>
    </row>
    <row r="42" spans="1:28">
      <c r="A42" s="78" t="s">
        <v>24</v>
      </c>
      <c r="B42" s="202">
        <v>18</v>
      </c>
      <c r="C42" s="127">
        <v>38</v>
      </c>
      <c r="K42" s="423" t="s">
        <v>494</v>
      </c>
      <c r="L42" s="431">
        <v>56.333333333333336</v>
      </c>
      <c r="M42" s="429">
        <v>70.524999999999991</v>
      </c>
    </row>
    <row r="43" spans="1:28">
      <c r="K43" s="423" t="s">
        <v>506</v>
      </c>
      <c r="L43" s="431">
        <v>61.400000000000006</v>
      </c>
      <c r="M43" s="429">
        <v>79.349999999999994</v>
      </c>
    </row>
    <row r="44" spans="1:28">
      <c r="K44" s="423" t="s">
        <v>495</v>
      </c>
      <c r="L44" s="431">
        <v>51.3217391304348</v>
      </c>
      <c r="M44" s="429">
        <v>59.237837837837837</v>
      </c>
    </row>
    <row r="45" spans="1:28">
      <c r="K45" s="423" t="s">
        <v>496</v>
      </c>
      <c r="L45" s="431">
        <v>54.9</v>
      </c>
      <c r="M45" s="429">
        <v>60.89</v>
      </c>
    </row>
    <row r="46" spans="1:28">
      <c r="L46" s="433" t="s">
        <v>508</v>
      </c>
      <c r="M46" s="413" t="s">
        <v>507</v>
      </c>
    </row>
    <row r="47" spans="1:28" s="387" customFormat="1">
      <c r="A47" s="45">
        <v>2</v>
      </c>
      <c r="B47" s="45" t="s">
        <v>136</v>
      </c>
      <c r="E47" s="388"/>
      <c r="K47" s="413"/>
      <c r="L47" s="432"/>
      <c r="M47" s="413"/>
      <c r="N47" s="413"/>
      <c r="O47" s="413"/>
      <c r="P47" s="413"/>
      <c r="Q47" s="413"/>
      <c r="R47" s="413"/>
      <c r="S47" s="413"/>
      <c r="T47" s="413"/>
      <c r="U47" s="413"/>
      <c r="V47" s="413"/>
      <c r="W47" s="413"/>
      <c r="X47" s="413"/>
      <c r="Y47" s="413"/>
      <c r="Z47" s="413"/>
      <c r="AA47" s="413"/>
      <c r="AB47" s="413"/>
    </row>
    <row r="48" spans="1:28" s="387" customFormat="1">
      <c r="A48" s="45">
        <v>1</v>
      </c>
      <c r="B48" s="45" t="s">
        <v>138</v>
      </c>
      <c r="E48" s="388"/>
      <c r="K48" s="413"/>
      <c r="L48" s="432"/>
      <c r="M48" s="413"/>
      <c r="N48" s="413"/>
      <c r="O48" s="413"/>
      <c r="P48" s="413"/>
      <c r="Q48" s="413"/>
      <c r="R48" s="413"/>
      <c r="S48" s="413"/>
      <c r="T48" s="413"/>
      <c r="U48" s="413"/>
      <c r="V48" s="413"/>
      <c r="W48" s="413"/>
      <c r="X48" s="413"/>
      <c r="Y48" s="413"/>
      <c r="Z48" s="413"/>
      <c r="AA48" s="413"/>
      <c r="AB48" s="413"/>
    </row>
    <row r="49" spans="1:28" s="387" customFormat="1">
      <c r="A49" s="45">
        <v>0</v>
      </c>
      <c r="B49" s="45" t="s">
        <v>140</v>
      </c>
      <c r="E49" s="388"/>
      <c r="K49" s="413"/>
      <c r="L49" s="413"/>
      <c r="M49" s="413"/>
      <c r="N49" s="413"/>
      <c r="O49" s="413"/>
      <c r="P49" s="413"/>
      <c r="Q49" s="413"/>
      <c r="R49" s="413"/>
      <c r="S49" s="413"/>
      <c r="T49" s="413"/>
      <c r="U49" s="413"/>
      <c r="V49" s="413"/>
      <c r="W49" s="413"/>
      <c r="X49" s="413"/>
      <c r="Y49" s="413"/>
      <c r="Z49" s="413"/>
      <c r="AA49" s="413"/>
      <c r="AB49" s="413"/>
    </row>
    <row r="50" spans="1:28" s="387" customFormat="1">
      <c r="E50" s="388"/>
      <c r="K50" s="413"/>
      <c r="L50" s="413"/>
      <c r="M50" s="413"/>
      <c r="N50" s="413"/>
      <c r="O50" s="413"/>
      <c r="P50" s="413"/>
      <c r="Q50" s="413"/>
      <c r="R50" s="413"/>
      <c r="S50" s="413"/>
      <c r="T50" s="413"/>
      <c r="U50" s="413"/>
      <c r="V50" s="413"/>
      <c r="W50" s="413"/>
      <c r="X50" s="413"/>
      <c r="Y50" s="413"/>
      <c r="Z50" s="413"/>
      <c r="AA50" s="413"/>
      <c r="AB50" s="413"/>
    </row>
    <row r="51" spans="1:28" s="387" customFormat="1">
      <c r="A51" s="45" t="s">
        <v>137</v>
      </c>
      <c r="E51" s="388"/>
      <c r="K51" s="413"/>
      <c r="L51" s="413"/>
      <c r="M51" s="413"/>
      <c r="N51" s="413"/>
      <c r="O51" s="413"/>
      <c r="P51" s="413"/>
      <c r="Q51" s="413"/>
      <c r="R51" s="413"/>
      <c r="S51" s="413"/>
      <c r="T51" s="413"/>
      <c r="U51" s="413"/>
      <c r="V51" s="413"/>
      <c r="W51" s="413"/>
      <c r="X51" s="413"/>
      <c r="Y51" s="413"/>
      <c r="Z51" s="413"/>
      <c r="AA51" s="413"/>
      <c r="AB51" s="413"/>
    </row>
    <row r="52" spans="1:28" s="387" customFormat="1">
      <c r="A52" s="45" t="s">
        <v>139</v>
      </c>
      <c r="E52" s="388"/>
      <c r="K52" s="413"/>
      <c r="L52" s="413"/>
      <c r="M52" s="413"/>
      <c r="N52" s="413"/>
      <c r="O52" s="413"/>
      <c r="P52" s="413"/>
      <c r="Q52" s="413"/>
      <c r="R52" s="413"/>
      <c r="S52" s="413"/>
      <c r="T52" s="413"/>
      <c r="U52" s="413"/>
      <c r="V52" s="413"/>
      <c r="W52" s="413"/>
      <c r="X52" s="413"/>
      <c r="Y52" s="413"/>
      <c r="Z52" s="413"/>
      <c r="AA52" s="413"/>
      <c r="AB52" s="413"/>
    </row>
    <row r="53" spans="1:28" s="387" customFormat="1">
      <c r="A53" s="45" t="s">
        <v>141</v>
      </c>
      <c r="E53" s="388"/>
      <c r="K53" s="413"/>
      <c r="L53" s="413"/>
      <c r="M53" s="413"/>
      <c r="N53" s="413"/>
      <c r="O53" s="413"/>
      <c r="P53" s="413"/>
      <c r="Q53" s="413"/>
      <c r="R53" s="413"/>
      <c r="S53" s="413"/>
      <c r="T53" s="413"/>
      <c r="U53" s="413"/>
      <c r="V53" s="413"/>
      <c r="W53" s="413"/>
      <c r="X53" s="413"/>
      <c r="Y53" s="413"/>
      <c r="Z53" s="413"/>
      <c r="AA53" s="413"/>
      <c r="AB53" s="413"/>
    </row>
  </sheetData>
  <sheetProtection algorithmName="SHA-512" hashValue="SzAh24VmIs+HhfITHo61UNIwtAhNErzrakrH6JkUbbnsPMlBdgBHT3zJLqoo6FqU3mvNZWaqaWvea8+iwCMjRQ==" saltValue="scJcla6QzBFnJqLb8vkQJg==" spinCount="100000" sheet="1" objects="1" scenarios="1"/>
  <sortState xmlns:xlrd2="http://schemas.microsoft.com/office/spreadsheetml/2017/richdata2" ref="E3:E33">
    <sortCondition ref="E2:E33"/>
  </sortState>
  <mergeCells count="1">
    <mergeCell ref="Q7:R7"/>
  </mergeCells>
  <phoneticPr fontId="1" type="noConversion"/>
  <pageMargins left="0.7" right="0.7" top="0.75" bottom="0.75" header="0.3" footer="0.3"/>
  <pageSetup paperSize="9" orientation="portrait"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C633B5-BBBB-4BB0-8779-8BC40E3CA13C}">
  <sheetPr codeName="Sheet5"/>
  <dimension ref="B1:AN48"/>
  <sheetViews>
    <sheetView topLeftCell="Y1" zoomScale="80" zoomScaleNormal="80" workbookViewId="0">
      <selection activeCell="AP33" sqref="AP33"/>
    </sheetView>
  </sheetViews>
  <sheetFormatPr baseColWidth="10" defaultColWidth="9.3984375" defaultRowHeight="15"/>
  <cols>
    <col min="1" max="2" width="5.3984375" style="1" customWidth="1"/>
    <col min="3" max="3" width="54" style="1" customWidth="1"/>
    <col min="4" max="4" width="20.796875" style="1" customWidth="1"/>
    <col min="5" max="7" width="8.3984375" style="1" customWidth="1"/>
    <col min="8" max="8" width="13.3984375" style="1" customWidth="1"/>
    <col min="9" max="13" width="14.796875" style="1" customWidth="1"/>
    <col min="14" max="18" width="10.3984375" style="1" customWidth="1"/>
    <col min="19" max="30" width="22.59765625" style="1" customWidth="1"/>
    <col min="31" max="33" width="17.3984375" style="1" customWidth="1"/>
    <col min="34" max="39" width="22.59765625" style="1" customWidth="1"/>
    <col min="40" max="40" width="13.796875" style="1" bestFit="1" customWidth="1"/>
    <col min="41" max="16384" width="9.3984375" style="1"/>
  </cols>
  <sheetData>
    <row r="1" spans="2:40">
      <c r="E1" s="1">
        <v>1</v>
      </c>
      <c r="F1" s="1">
        <v>2</v>
      </c>
      <c r="G1" s="1">
        <v>3</v>
      </c>
      <c r="H1" s="1">
        <v>4</v>
      </c>
      <c r="I1" s="1">
        <v>5</v>
      </c>
      <c r="J1" s="1">
        <v>6</v>
      </c>
      <c r="K1" s="1">
        <v>7</v>
      </c>
      <c r="L1" s="1">
        <v>8</v>
      </c>
      <c r="M1" s="1">
        <v>9</v>
      </c>
      <c r="N1" s="1">
        <v>10</v>
      </c>
      <c r="O1" s="1">
        <v>11</v>
      </c>
      <c r="P1" s="1">
        <v>12</v>
      </c>
      <c r="Q1" s="1">
        <v>13</v>
      </c>
      <c r="R1" s="1">
        <v>14</v>
      </c>
      <c r="S1" s="1">
        <v>15</v>
      </c>
      <c r="T1" s="1">
        <v>16</v>
      </c>
      <c r="U1" s="1">
        <v>17</v>
      </c>
      <c r="V1" s="1">
        <v>18</v>
      </c>
      <c r="W1" s="1">
        <v>19</v>
      </c>
      <c r="X1" s="1">
        <v>20</v>
      </c>
      <c r="Y1" s="1">
        <v>21</v>
      </c>
      <c r="Z1" s="1">
        <v>22</v>
      </c>
      <c r="AA1" s="1">
        <v>23</v>
      </c>
      <c r="AB1" s="1">
        <v>24</v>
      </c>
      <c r="AC1" s="1">
        <v>25</v>
      </c>
      <c r="AD1" s="1">
        <v>26</v>
      </c>
      <c r="AE1" s="1">
        <v>27</v>
      </c>
      <c r="AF1" s="1">
        <v>28</v>
      </c>
      <c r="AG1" s="1">
        <v>29</v>
      </c>
      <c r="AH1" s="1">
        <v>30</v>
      </c>
      <c r="AI1" s="1">
        <v>31</v>
      </c>
      <c r="AJ1" s="1">
        <v>32</v>
      </c>
      <c r="AK1" s="1">
        <v>33</v>
      </c>
      <c r="AL1" s="1">
        <v>34</v>
      </c>
      <c r="AM1" s="1">
        <v>35</v>
      </c>
      <c r="AN1" s="1">
        <v>36</v>
      </c>
    </row>
    <row r="2" spans="2:40" ht="36" customHeight="1" thickBot="1">
      <c r="D2" s="206" t="s">
        <v>8</v>
      </c>
      <c r="F2" s="860" t="s">
        <v>5</v>
      </c>
      <c r="G2" s="860"/>
      <c r="H2" s="128" t="s">
        <v>2</v>
      </c>
      <c r="I2" s="861" t="s">
        <v>343</v>
      </c>
      <c r="J2" s="861"/>
      <c r="K2" s="861"/>
      <c r="L2" s="861"/>
      <c r="M2" s="861"/>
    </row>
    <row r="3" spans="2:40" s="207" customFormat="1" ht="19">
      <c r="E3" s="208"/>
      <c r="F3" s="853" t="s">
        <v>51</v>
      </c>
      <c r="G3" s="854"/>
      <c r="H3" s="209" t="s">
        <v>54</v>
      </c>
      <c r="I3" s="855" t="s">
        <v>344</v>
      </c>
      <c r="J3" s="856"/>
      <c r="K3" s="856"/>
      <c r="L3" s="856"/>
      <c r="M3" s="856"/>
      <c r="N3" s="857" t="s">
        <v>29</v>
      </c>
      <c r="O3" s="858"/>
      <c r="P3" s="858"/>
      <c r="Q3" s="858"/>
      <c r="R3" s="859"/>
      <c r="S3" s="857" t="s">
        <v>35</v>
      </c>
      <c r="T3" s="858"/>
      <c r="U3" s="858"/>
      <c r="V3" s="858"/>
      <c r="W3" s="859"/>
      <c r="X3" s="254" t="s">
        <v>36</v>
      </c>
      <c r="Y3" s="151"/>
      <c r="Z3" s="151"/>
      <c r="AA3" s="151"/>
      <c r="AB3" s="221" t="s">
        <v>39</v>
      </c>
      <c r="AC3" s="222"/>
      <c r="AD3" s="222"/>
      <c r="AE3" s="150" t="s">
        <v>43</v>
      </c>
      <c r="AF3" s="151"/>
      <c r="AG3" s="151"/>
      <c r="AH3" s="221" t="s">
        <v>45</v>
      </c>
      <c r="AI3" s="223"/>
      <c r="AJ3" s="222"/>
      <c r="AK3" s="150" t="s">
        <v>47</v>
      </c>
      <c r="AL3" s="151"/>
      <c r="AM3" s="151"/>
    </row>
    <row r="4" spans="2:40" ht="26.25" customHeight="1">
      <c r="B4" s="848" t="s">
        <v>3</v>
      </c>
      <c r="C4" s="849"/>
      <c r="D4" s="269" t="s">
        <v>9</v>
      </c>
      <c r="E4" s="270" t="s">
        <v>342</v>
      </c>
      <c r="F4" s="262" t="s">
        <v>6</v>
      </c>
      <c r="G4" s="263" t="s">
        <v>7</v>
      </c>
      <c r="H4" s="264" t="s">
        <v>4</v>
      </c>
      <c r="I4" s="262" t="s">
        <v>26</v>
      </c>
      <c r="J4" s="265" t="s">
        <v>32</v>
      </c>
      <c r="K4" s="265" t="s">
        <v>33</v>
      </c>
      <c r="L4" s="265" t="s">
        <v>34</v>
      </c>
      <c r="M4" s="266" t="s">
        <v>27</v>
      </c>
      <c r="N4" s="262" t="s">
        <v>25</v>
      </c>
      <c r="O4" s="265" t="s">
        <v>32</v>
      </c>
      <c r="P4" s="265" t="s">
        <v>33</v>
      </c>
      <c r="Q4" s="265" t="s">
        <v>34</v>
      </c>
      <c r="R4" s="263" t="s">
        <v>27</v>
      </c>
      <c r="S4" s="262" t="s">
        <v>25</v>
      </c>
      <c r="T4" s="265" t="s">
        <v>32</v>
      </c>
      <c r="U4" s="265" t="s">
        <v>33</v>
      </c>
      <c r="V4" s="265" t="s">
        <v>34</v>
      </c>
      <c r="W4" s="263" t="s">
        <v>27</v>
      </c>
      <c r="X4" s="261" t="s">
        <v>25</v>
      </c>
      <c r="Y4" s="265" t="s">
        <v>32</v>
      </c>
      <c r="Z4" s="265" t="s">
        <v>33</v>
      </c>
      <c r="AA4" s="77" t="s">
        <v>37</v>
      </c>
      <c r="AB4" s="262" t="s">
        <v>25</v>
      </c>
      <c r="AC4" s="77" t="s">
        <v>40</v>
      </c>
      <c r="AD4" s="266" t="s">
        <v>37</v>
      </c>
      <c r="AE4" s="262" t="s">
        <v>25</v>
      </c>
      <c r="AF4" s="77" t="s">
        <v>42</v>
      </c>
      <c r="AG4" s="77" t="s">
        <v>37</v>
      </c>
      <c r="AH4" s="262" t="s">
        <v>25</v>
      </c>
      <c r="AI4" s="267" t="s">
        <v>42</v>
      </c>
      <c r="AJ4" s="268" t="s">
        <v>37</v>
      </c>
      <c r="AK4" s="262" t="s">
        <v>25</v>
      </c>
      <c r="AL4" s="77" t="s">
        <v>42</v>
      </c>
      <c r="AM4" s="268" t="s">
        <v>37</v>
      </c>
      <c r="AN4" s="398" t="s">
        <v>482</v>
      </c>
    </row>
    <row r="5" spans="2:40" ht="23.25" customHeight="1">
      <c r="B5" s="5">
        <v>1</v>
      </c>
      <c r="C5" s="2" t="s">
        <v>15</v>
      </c>
      <c r="D5" s="181">
        <v>8000000000</v>
      </c>
      <c r="E5" s="271">
        <v>1</v>
      </c>
      <c r="F5" s="182">
        <v>0.73299999999999998</v>
      </c>
      <c r="G5" s="183">
        <v>11751</v>
      </c>
      <c r="H5" s="184">
        <v>3438800</v>
      </c>
      <c r="I5" s="164">
        <v>11582</v>
      </c>
      <c r="J5" s="155">
        <v>11674</v>
      </c>
      <c r="K5" s="185">
        <v>12289</v>
      </c>
      <c r="L5" s="185">
        <v>14401</v>
      </c>
      <c r="M5" s="156">
        <v>14401</v>
      </c>
      <c r="N5" s="164">
        <v>3</v>
      </c>
      <c r="O5" s="155">
        <v>4</v>
      </c>
      <c r="P5" s="155">
        <v>5</v>
      </c>
      <c r="Q5" s="155">
        <v>8</v>
      </c>
      <c r="R5" s="170">
        <v>8</v>
      </c>
      <c r="S5" s="164">
        <v>153811794</v>
      </c>
      <c r="T5" s="155">
        <v>319440358</v>
      </c>
      <c r="U5" s="155">
        <v>614745071</v>
      </c>
      <c r="V5" s="155">
        <v>1134995050</v>
      </c>
      <c r="W5" s="170">
        <v>1134995050</v>
      </c>
      <c r="X5" s="255">
        <v>-16.100000000000001</v>
      </c>
      <c r="Y5" s="160">
        <v>-4.5</v>
      </c>
      <c r="Z5" s="160">
        <v>11.5</v>
      </c>
      <c r="AA5" s="161">
        <v>11.5</v>
      </c>
      <c r="AB5" s="164">
        <v>-70224791</v>
      </c>
      <c r="AC5" s="155">
        <v>10015526</v>
      </c>
      <c r="AD5" s="156">
        <v>10015526</v>
      </c>
      <c r="AE5" s="159">
        <v>-112.3</v>
      </c>
      <c r="AF5" s="160">
        <v>43.4</v>
      </c>
      <c r="AG5" s="161">
        <v>43.4</v>
      </c>
      <c r="AH5" s="129">
        <v>315896</v>
      </c>
      <c r="AI5" s="3">
        <v>877919</v>
      </c>
      <c r="AJ5" s="4">
        <v>877919</v>
      </c>
      <c r="AK5" s="141">
        <v>-30.3</v>
      </c>
      <c r="AL5" s="6">
        <v>18.7</v>
      </c>
      <c r="AM5" s="7">
        <v>18.7</v>
      </c>
      <c r="AN5" s="396">
        <v>53.29999999999999</v>
      </c>
    </row>
    <row r="6" spans="2:40" ht="23.25" customHeight="1">
      <c r="B6" s="5">
        <v>2</v>
      </c>
      <c r="C6" s="2" t="s">
        <v>10</v>
      </c>
      <c r="D6" s="181">
        <v>8000000000</v>
      </c>
      <c r="E6" s="271">
        <v>2</v>
      </c>
      <c r="F6" s="186">
        <v>0.66200000000000003</v>
      </c>
      <c r="G6" s="187">
        <v>12743</v>
      </c>
      <c r="H6" s="188">
        <v>18007103</v>
      </c>
      <c r="I6" s="168">
        <v>11636</v>
      </c>
      <c r="J6" s="157">
        <v>12650</v>
      </c>
      <c r="K6" s="157">
        <v>14169</v>
      </c>
      <c r="L6" s="157">
        <v>17446</v>
      </c>
      <c r="M6" s="158">
        <v>17446</v>
      </c>
      <c r="N6" s="168">
        <v>3</v>
      </c>
      <c r="O6" s="157">
        <v>5</v>
      </c>
      <c r="P6" s="157">
        <v>9</v>
      </c>
      <c r="Q6" s="157">
        <v>21</v>
      </c>
      <c r="R6" s="165">
        <v>21</v>
      </c>
      <c r="S6" s="168">
        <v>176902170</v>
      </c>
      <c r="T6" s="157">
        <v>380984389</v>
      </c>
      <c r="U6" s="157">
        <v>713307454</v>
      </c>
      <c r="V6" s="157">
        <v>1320205273</v>
      </c>
      <c r="W6" s="165">
        <v>1320205273</v>
      </c>
      <c r="X6" s="256">
        <v>-19.899999999999999</v>
      </c>
      <c r="Y6" s="162">
        <v>-1.1000000000000001</v>
      </c>
      <c r="Z6" s="162">
        <v>12</v>
      </c>
      <c r="AA6" s="167">
        <v>12</v>
      </c>
      <c r="AB6" s="168">
        <v>-70129710</v>
      </c>
      <c r="AC6" s="157">
        <v>13665831</v>
      </c>
      <c r="AD6" s="158">
        <v>13665831</v>
      </c>
      <c r="AE6" s="166">
        <v>-97.6</v>
      </c>
      <c r="AF6" s="162">
        <v>44.8</v>
      </c>
      <c r="AG6" s="167">
        <v>44.8</v>
      </c>
      <c r="AH6" s="131">
        <v>271237</v>
      </c>
      <c r="AI6" s="125">
        <v>732522</v>
      </c>
      <c r="AJ6" s="126">
        <v>732522</v>
      </c>
      <c r="AK6" s="143">
        <v>-21.6</v>
      </c>
      <c r="AL6" s="139">
        <v>17</v>
      </c>
      <c r="AM6" s="140">
        <v>17</v>
      </c>
      <c r="AN6" s="396">
        <v>54.9</v>
      </c>
    </row>
    <row r="7" spans="2:40" ht="23.25" customHeight="1">
      <c r="B7" s="5">
        <v>3</v>
      </c>
      <c r="C7" s="2" t="s">
        <v>0</v>
      </c>
      <c r="D7" s="181">
        <v>10000000000</v>
      </c>
      <c r="E7" s="271">
        <v>3</v>
      </c>
      <c r="F7" s="182">
        <v>0.61499999999999999</v>
      </c>
      <c r="G7" s="183">
        <v>11924</v>
      </c>
      <c r="H7" s="184">
        <v>11273941</v>
      </c>
      <c r="I7" s="164">
        <v>11582</v>
      </c>
      <c r="J7" s="155">
        <v>12097</v>
      </c>
      <c r="K7" s="155">
        <v>14174</v>
      </c>
      <c r="L7" s="155">
        <v>18225</v>
      </c>
      <c r="M7" s="156">
        <v>18225</v>
      </c>
      <c r="N7" s="164">
        <v>4</v>
      </c>
      <c r="O7" s="155">
        <v>6</v>
      </c>
      <c r="P7" s="155">
        <v>11</v>
      </c>
      <c r="Q7" s="155">
        <v>21</v>
      </c>
      <c r="R7" s="170">
        <v>21</v>
      </c>
      <c r="S7" s="164">
        <v>266941019</v>
      </c>
      <c r="T7" s="155">
        <v>692416474</v>
      </c>
      <c r="U7" s="155">
        <v>1300821850</v>
      </c>
      <c r="V7" s="155">
        <v>2934206190</v>
      </c>
      <c r="W7" s="170">
        <v>2934206190</v>
      </c>
      <c r="X7" s="255">
        <v>-15.8</v>
      </c>
      <c r="Y7" s="160">
        <v>2.4</v>
      </c>
      <c r="Z7" s="160">
        <v>18.5</v>
      </c>
      <c r="AA7" s="161">
        <v>18.5</v>
      </c>
      <c r="AB7" s="164">
        <v>-75652963</v>
      </c>
      <c r="AC7" s="155">
        <v>33578831</v>
      </c>
      <c r="AD7" s="156">
        <v>33578831</v>
      </c>
      <c r="AE7" s="159">
        <v>-58.2</v>
      </c>
      <c r="AF7" s="160">
        <v>76.7</v>
      </c>
      <c r="AG7" s="161">
        <v>76.7</v>
      </c>
      <c r="AH7" s="129">
        <v>376770</v>
      </c>
      <c r="AI7" s="3">
        <v>978318</v>
      </c>
      <c r="AJ7" s="4">
        <v>978318</v>
      </c>
      <c r="AK7" s="141">
        <v>-17.600000000000001</v>
      </c>
      <c r="AL7" s="6">
        <v>26.1</v>
      </c>
      <c r="AM7" s="7">
        <v>26.1</v>
      </c>
      <c r="AN7" s="396">
        <v>54.02121212121213</v>
      </c>
    </row>
    <row r="8" spans="2:40" ht="23.25" customHeight="1">
      <c r="B8" s="5">
        <v>4</v>
      </c>
      <c r="C8" s="2" t="s">
        <v>11</v>
      </c>
      <c r="D8" s="181">
        <v>12000000000</v>
      </c>
      <c r="E8" s="271">
        <v>4</v>
      </c>
      <c r="F8" s="182">
        <v>0.8</v>
      </c>
      <c r="G8" s="183">
        <v>12481</v>
      </c>
      <c r="H8" s="184">
        <v>5359873</v>
      </c>
      <c r="I8" s="164">
        <v>12097</v>
      </c>
      <c r="J8" s="155">
        <v>14401</v>
      </c>
      <c r="K8" s="155">
        <v>15921</v>
      </c>
      <c r="L8" s="155">
        <v>19750</v>
      </c>
      <c r="M8" s="156">
        <v>19750</v>
      </c>
      <c r="N8" s="164">
        <v>2</v>
      </c>
      <c r="O8" s="189"/>
      <c r="P8" s="189">
        <v>5</v>
      </c>
      <c r="Q8" s="155">
        <v>7</v>
      </c>
      <c r="R8" s="170">
        <v>7</v>
      </c>
      <c r="S8" s="164">
        <v>253359294</v>
      </c>
      <c r="T8" s="155">
        <v>282911075</v>
      </c>
      <c r="U8" s="155">
        <v>1176279770</v>
      </c>
      <c r="V8" s="155">
        <v>1184743754</v>
      </c>
      <c r="W8" s="170">
        <v>1184743754</v>
      </c>
      <c r="X8" s="255">
        <v>-31.7</v>
      </c>
      <c r="Y8" s="160">
        <v>-5.9</v>
      </c>
      <c r="Z8" s="160">
        <v>1.9</v>
      </c>
      <c r="AA8" s="161">
        <v>1.9</v>
      </c>
      <c r="AB8" s="164">
        <v>6944638</v>
      </c>
      <c r="AC8" s="155">
        <v>34030335</v>
      </c>
      <c r="AD8" s="156">
        <v>34030335</v>
      </c>
      <c r="AE8" s="159">
        <v>-45.9</v>
      </c>
      <c r="AF8" s="160">
        <v>21.8</v>
      </c>
      <c r="AG8" s="161">
        <v>21.8</v>
      </c>
      <c r="AH8" s="129">
        <v>348423</v>
      </c>
      <c r="AI8" s="3">
        <v>1273493</v>
      </c>
      <c r="AJ8" s="4">
        <v>1273493</v>
      </c>
      <c r="AK8" s="141">
        <v>-54.4</v>
      </c>
      <c r="AL8" s="6">
        <v>-5.4</v>
      </c>
      <c r="AM8" s="7">
        <v>-5.4</v>
      </c>
      <c r="AN8" s="396">
        <v>61.400000000000006</v>
      </c>
    </row>
    <row r="9" spans="2:40" ht="23.25" customHeight="1">
      <c r="B9" s="5">
        <v>5</v>
      </c>
      <c r="C9" s="2" t="s">
        <v>12</v>
      </c>
      <c r="D9" s="181">
        <v>3000000000</v>
      </c>
      <c r="E9" s="271">
        <v>5</v>
      </c>
      <c r="F9" s="182">
        <v>0.48099999999999998</v>
      </c>
      <c r="G9" s="183">
        <v>25284</v>
      </c>
      <c r="H9" s="184">
        <v>15523306</v>
      </c>
      <c r="I9" s="164">
        <v>16262</v>
      </c>
      <c r="J9" s="155">
        <v>24743</v>
      </c>
      <c r="K9" s="155">
        <v>29969</v>
      </c>
      <c r="L9" s="155">
        <v>39655</v>
      </c>
      <c r="M9" s="156">
        <v>39655</v>
      </c>
      <c r="N9" s="164">
        <v>4</v>
      </c>
      <c r="O9" s="155">
        <v>7</v>
      </c>
      <c r="P9" s="155">
        <v>12</v>
      </c>
      <c r="Q9" s="155">
        <v>22</v>
      </c>
      <c r="R9" s="170">
        <v>22</v>
      </c>
      <c r="S9" s="164">
        <v>307303587</v>
      </c>
      <c r="T9" s="155">
        <v>709613926</v>
      </c>
      <c r="U9" s="155">
        <v>1309062936</v>
      </c>
      <c r="V9" s="155">
        <v>1996789359</v>
      </c>
      <c r="W9" s="170">
        <v>1996789359</v>
      </c>
      <c r="X9" s="255">
        <v>-27.7</v>
      </c>
      <c r="Y9" s="160">
        <v>-10.8</v>
      </c>
      <c r="Z9" s="160">
        <v>2.4</v>
      </c>
      <c r="AA9" s="161">
        <v>2.4</v>
      </c>
      <c r="AB9" s="164">
        <v>-51804377</v>
      </c>
      <c r="AC9" s="155">
        <v>34388049</v>
      </c>
      <c r="AD9" s="156">
        <v>34388049</v>
      </c>
      <c r="AE9" s="159">
        <v>-100</v>
      </c>
      <c r="AF9" s="160">
        <v>51.5</v>
      </c>
      <c r="AG9" s="161">
        <v>51.5</v>
      </c>
      <c r="AH9" s="129">
        <v>255477</v>
      </c>
      <c r="AI9" s="3">
        <v>549233</v>
      </c>
      <c r="AJ9" s="4">
        <v>549233</v>
      </c>
      <c r="AK9" s="141">
        <v>-40.5</v>
      </c>
      <c r="AL9" s="6">
        <v>-1.8</v>
      </c>
      <c r="AM9" s="7">
        <v>-1.8</v>
      </c>
      <c r="AN9" s="396">
        <v>44</v>
      </c>
    </row>
    <row r="10" spans="2:40" ht="23.25" customHeight="1">
      <c r="B10" s="5">
        <v>6</v>
      </c>
      <c r="C10" s="2" t="s">
        <v>1</v>
      </c>
      <c r="D10" s="181">
        <v>8000000000</v>
      </c>
      <c r="E10" s="271">
        <v>6</v>
      </c>
      <c r="F10" s="182">
        <v>0.57099999999999995</v>
      </c>
      <c r="G10" s="183">
        <v>13249</v>
      </c>
      <c r="H10" s="184">
        <v>40311750</v>
      </c>
      <c r="I10" s="164">
        <v>11871</v>
      </c>
      <c r="J10" s="155">
        <v>13249</v>
      </c>
      <c r="K10" s="155">
        <v>14977</v>
      </c>
      <c r="L10" s="155">
        <v>18433</v>
      </c>
      <c r="M10" s="156">
        <v>18433</v>
      </c>
      <c r="N10" s="164">
        <v>3</v>
      </c>
      <c r="O10" s="155">
        <v>5</v>
      </c>
      <c r="P10" s="155">
        <v>7</v>
      </c>
      <c r="Q10" s="155">
        <v>10</v>
      </c>
      <c r="R10" s="170">
        <v>10</v>
      </c>
      <c r="S10" s="164">
        <v>457418601</v>
      </c>
      <c r="T10" s="155">
        <v>717873717</v>
      </c>
      <c r="U10" s="155">
        <v>1133961126</v>
      </c>
      <c r="V10" s="155">
        <v>1751771959</v>
      </c>
      <c r="W10" s="170">
        <v>1751771959</v>
      </c>
      <c r="X10" s="255">
        <v>-23.6</v>
      </c>
      <c r="Y10" s="160">
        <v>0</v>
      </c>
      <c r="Z10" s="160">
        <v>16.899999999999999</v>
      </c>
      <c r="AA10" s="161">
        <v>16.899999999999999</v>
      </c>
      <c r="AB10" s="164">
        <v>-20292277</v>
      </c>
      <c r="AC10" s="155">
        <v>36915719</v>
      </c>
      <c r="AD10" s="156">
        <v>36915719</v>
      </c>
      <c r="AE10" s="159">
        <v>-66</v>
      </c>
      <c r="AF10" s="160">
        <v>97.4</v>
      </c>
      <c r="AG10" s="161">
        <v>97.4</v>
      </c>
      <c r="AH10" s="129">
        <v>608100</v>
      </c>
      <c r="AI10" s="3">
        <v>1216375</v>
      </c>
      <c r="AJ10" s="4">
        <v>1216375</v>
      </c>
      <c r="AK10" s="141">
        <v>-23.6</v>
      </c>
      <c r="AL10" s="6">
        <v>31.8</v>
      </c>
      <c r="AM10" s="7">
        <v>31.8</v>
      </c>
      <c r="AN10" s="396">
        <v>61.485714285714302</v>
      </c>
    </row>
    <row r="11" spans="2:40" ht="23.25" customHeight="1">
      <c r="B11" s="5">
        <v>7</v>
      </c>
      <c r="C11" s="2" t="s">
        <v>16</v>
      </c>
      <c r="D11" s="181">
        <v>5000000000</v>
      </c>
      <c r="E11" s="271">
        <v>7</v>
      </c>
      <c r="F11" s="182">
        <v>0.52400000000000002</v>
      </c>
      <c r="G11" s="183">
        <v>12673</v>
      </c>
      <c r="H11" s="184">
        <v>19378860</v>
      </c>
      <c r="I11" s="164">
        <v>11870</v>
      </c>
      <c r="J11" s="155">
        <v>12855</v>
      </c>
      <c r="K11" s="155">
        <v>14742</v>
      </c>
      <c r="L11" s="155">
        <v>17860</v>
      </c>
      <c r="M11" s="156">
        <v>17860</v>
      </c>
      <c r="N11" s="164">
        <v>3</v>
      </c>
      <c r="O11" s="155">
        <v>4</v>
      </c>
      <c r="P11" s="155">
        <v>6</v>
      </c>
      <c r="Q11" s="155">
        <v>11</v>
      </c>
      <c r="R11" s="170">
        <v>11</v>
      </c>
      <c r="S11" s="164">
        <v>212198832</v>
      </c>
      <c r="T11" s="155">
        <v>474782181</v>
      </c>
      <c r="U11" s="155">
        <v>946851680</v>
      </c>
      <c r="V11" s="155">
        <v>1590220499</v>
      </c>
      <c r="W11" s="170">
        <v>1590220499</v>
      </c>
      <c r="X11" s="255">
        <v>-21.6</v>
      </c>
      <c r="Y11" s="160">
        <v>-5</v>
      </c>
      <c r="Z11" s="160">
        <v>7.9</v>
      </c>
      <c r="AA11" s="161">
        <v>7.9</v>
      </c>
      <c r="AB11" s="164">
        <v>-41409307</v>
      </c>
      <c r="AC11" s="155">
        <v>11987157</v>
      </c>
      <c r="AD11" s="156">
        <v>11987157</v>
      </c>
      <c r="AE11" s="159">
        <v>-68.7</v>
      </c>
      <c r="AF11" s="160">
        <v>78</v>
      </c>
      <c r="AG11" s="161">
        <v>78</v>
      </c>
      <c r="AH11" s="129">
        <v>405057</v>
      </c>
      <c r="AI11" s="3">
        <v>1162468</v>
      </c>
      <c r="AJ11" s="4">
        <v>1162468</v>
      </c>
      <c r="AK11" s="141">
        <v>-23.7</v>
      </c>
      <c r="AL11" s="6">
        <v>23.8</v>
      </c>
      <c r="AM11" s="7">
        <v>23.8</v>
      </c>
      <c r="AN11" s="396">
        <v>51.3217391304348</v>
      </c>
    </row>
    <row r="12" spans="2:40" ht="23.25" customHeight="1">
      <c r="B12" s="5">
        <v>8</v>
      </c>
      <c r="C12" s="2" t="s">
        <v>13</v>
      </c>
      <c r="D12" s="181">
        <v>8000000000</v>
      </c>
      <c r="E12" s="271">
        <v>8</v>
      </c>
      <c r="F12" s="182">
        <v>0.66700000000000004</v>
      </c>
      <c r="G12" s="183">
        <v>13422</v>
      </c>
      <c r="H12" s="184">
        <v>2710424</v>
      </c>
      <c r="I12" s="164">
        <v>11636</v>
      </c>
      <c r="J12" s="155">
        <v>12142</v>
      </c>
      <c r="K12" s="155">
        <v>16129</v>
      </c>
      <c r="L12" s="155">
        <v>19724</v>
      </c>
      <c r="M12" s="156">
        <v>19724</v>
      </c>
      <c r="N12" s="164">
        <v>4</v>
      </c>
      <c r="O12" s="155">
        <v>8</v>
      </c>
      <c r="P12" s="155">
        <v>13</v>
      </c>
      <c r="Q12" s="155">
        <v>24</v>
      </c>
      <c r="R12" s="170">
        <v>24</v>
      </c>
      <c r="S12" s="164">
        <v>446317967</v>
      </c>
      <c r="T12" s="155">
        <v>821957274</v>
      </c>
      <c r="U12" s="155">
        <v>1119301083</v>
      </c>
      <c r="V12" s="155">
        <v>2040190380</v>
      </c>
      <c r="W12" s="170">
        <v>2040190380</v>
      </c>
      <c r="X12" s="255">
        <v>0</v>
      </c>
      <c r="Y12" s="160">
        <v>9.4</v>
      </c>
      <c r="Z12" s="160">
        <v>33.5</v>
      </c>
      <c r="AA12" s="161">
        <v>33.5</v>
      </c>
      <c r="AB12" s="164">
        <v>-143423513</v>
      </c>
      <c r="AC12" s="171">
        <v>12701418</v>
      </c>
      <c r="AD12" s="172">
        <v>12701418</v>
      </c>
      <c r="AE12" s="159">
        <v>-36.1</v>
      </c>
      <c r="AF12" s="160">
        <v>100.3</v>
      </c>
      <c r="AG12" s="161">
        <v>100.3</v>
      </c>
      <c r="AH12" s="129">
        <v>297509</v>
      </c>
      <c r="AI12" s="3">
        <v>664890</v>
      </c>
      <c r="AJ12" s="4">
        <v>664890</v>
      </c>
      <c r="AK12" s="141">
        <v>-3.5</v>
      </c>
      <c r="AL12" s="6">
        <v>29.7</v>
      </c>
      <c r="AM12" s="7">
        <v>29.7</v>
      </c>
      <c r="AN12" s="396">
        <v>64.8</v>
      </c>
    </row>
    <row r="13" spans="2:40" ht="23.25" customHeight="1">
      <c r="B13" s="5">
        <v>9</v>
      </c>
      <c r="C13" s="2" t="s">
        <v>14</v>
      </c>
      <c r="D13" s="181">
        <v>1000000000</v>
      </c>
      <c r="E13" s="271">
        <v>9</v>
      </c>
      <c r="F13" s="182">
        <v>0.6</v>
      </c>
      <c r="G13" s="183">
        <v>12289</v>
      </c>
      <c r="H13" s="184">
        <v>5702732</v>
      </c>
      <c r="I13" s="164">
        <v>11636</v>
      </c>
      <c r="J13" s="155">
        <v>12245</v>
      </c>
      <c r="K13" s="155">
        <v>13631</v>
      </c>
      <c r="L13" s="155">
        <v>16008</v>
      </c>
      <c r="M13" s="156">
        <v>16008</v>
      </c>
      <c r="N13" s="164">
        <v>3</v>
      </c>
      <c r="O13" s="155">
        <v>4</v>
      </c>
      <c r="P13" s="155">
        <v>5</v>
      </c>
      <c r="Q13" s="155">
        <v>7</v>
      </c>
      <c r="R13" s="170">
        <v>7</v>
      </c>
      <c r="S13" s="164">
        <v>93283174</v>
      </c>
      <c r="T13" s="155">
        <v>167872919</v>
      </c>
      <c r="U13" s="155">
        <v>272611467</v>
      </c>
      <c r="V13" s="155">
        <v>444001393</v>
      </c>
      <c r="W13" s="170">
        <v>444001393</v>
      </c>
      <c r="X13" s="255">
        <v>-13.1</v>
      </c>
      <c r="Y13" s="160">
        <v>-0.1</v>
      </c>
      <c r="Z13" s="160">
        <v>12.3</v>
      </c>
      <c r="AA13" s="161">
        <v>12.3</v>
      </c>
      <c r="AB13" s="164">
        <v>-72650405</v>
      </c>
      <c r="AC13" s="155">
        <v>-15171912</v>
      </c>
      <c r="AD13" s="172">
        <v>-15171912</v>
      </c>
      <c r="AE13" s="159">
        <v>-156.30000000000001</v>
      </c>
      <c r="AF13" s="160">
        <v>41.7</v>
      </c>
      <c r="AG13" s="161">
        <v>41.7</v>
      </c>
      <c r="AH13" s="129">
        <v>168762</v>
      </c>
      <c r="AI13" s="3">
        <v>351677</v>
      </c>
      <c r="AJ13" s="4">
        <v>351677</v>
      </c>
      <c r="AK13" s="141">
        <v>-15.8</v>
      </c>
      <c r="AL13" s="6">
        <v>27.2</v>
      </c>
      <c r="AM13" s="7">
        <v>27.2</v>
      </c>
      <c r="AN13" s="396">
        <v>52.466666666666669</v>
      </c>
    </row>
    <row r="14" spans="2:40" ht="23.25" customHeight="1">
      <c r="B14" s="5">
        <v>10</v>
      </c>
      <c r="C14" s="2" t="s">
        <v>17</v>
      </c>
      <c r="D14" s="181">
        <v>5000000000</v>
      </c>
      <c r="E14" s="271">
        <v>10</v>
      </c>
      <c r="F14" s="182">
        <v>0.45700000000000002</v>
      </c>
      <c r="G14" s="183">
        <v>12673</v>
      </c>
      <c r="H14" s="184">
        <v>16155676</v>
      </c>
      <c r="I14" s="164">
        <v>12097</v>
      </c>
      <c r="J14" s="155">
        <v>13249</v>
      </c>
      <c r="K14" s="155">
        <v>15121</v>
      </c>
      <c r="L14" s="155">
        <v>20057</v>
      </c>
      <c r="M14" s="156">
        <v>20057</v>
      </c>
      <c r="N14" s="164">
        <v>3</v>
      </c>
      <c r="O14" s="155">
        <v>4</v>
      </c>
      <c r="P14" s="155">
        <v>6</v>
      </c>
      <c r="Q14" s="155">
        <v>9</v>
      </c>
      <c r="R14" s="170">
        <v>9</v>
      </c>
      <c r="S14" s="164">
        <v>139215163</v>
      </c>
      <c r="T14" s="155">
        <v>314200001</v>
      </c>
      <c r="U14" s="155">
        <v>547607693</v>
      </c>
      <c r="V14" s="155">
        <v>1053358250</v>
      </c>
      <c r="W14" s="170">
        <v>1053358250</v>
      </c>
      <c r="X14" s="255">
        <v>-29.7</v>
      </c>
      <c r="Y14" s="160">
        <v>-3</v>
      </c>
      <c r="Z14" s="160">
        <v>23.7</v>
      </c>
      <c r="AA14" s="161">
        <v>23.7</v>
      </c>
      <c r="AB14" s="164">
        <v>-77854577</v>
      </c>
      <c r="AC14" s="155">
        <v>8818790</v>
      </c>
      <c r="AD14" s="156">
        <v>8818790</v>
      </c>
      <c r="AE14" s="159">
        <v>-102.4</v>
      </c>
      <c r="AF14" s="160">
        <v>90.2</v>
      </c>
      <c r="AG14" s="161">
        <v>90.2</v>
      </c>
      <c r="AH14" s="129">
        <v>334115</v>
      </c>
      <c r="AI14" s="3">
        <v>724505</v>
      </c>
      <c r="AJ14" s="4">
        <v>724505</v>
      </c>
      <c r="AK14" s="141">
        <v>-29.6</v>
      </c>
      <c r="AL14" s="6">
        <v>32</v>
      </c>
      <c r="AM14" s="7">
        <v>32</v>
      </c>
      <c r="AN14" s="396">
        <v>46.771428571428565</v>
      </c>
    </row>
    <row r="15" spans="2:40" ht="23.25" customHeight="1">
      <c r="B15" s="5">
        <v>11</v>
      </c>
      <c r="C15" s="2" t="s">
        <v>18</v>
      </c>
      <c r="D15" s="181">
        <v>8000000000</v>
      </c>
      <c r="E15" s="271">
        <v>11</v>
      </c>
      <c r="F15" s="186">
        <v>0.66200000000000003</v>
      </c>
      <c r="G15" s="187">
        <v>12743</v>
      </c>
      <c r="H15" s="188">
        <v>18007103</v>
      </c>
      <c r="I15" s="168">
        <v>11636</v>
      </c>
      <c r="J15" s="157">
        <v>12650</v>
      </c>
      <c r="K15" s="157">
        <v>14169</v>
      </c>
      <c r="L15" s="157">
        <v>17446</v>
      </c>
      <c r="M15" s="158">
        <v>17446</v>
      </c>
      <c r="N15" s="168">
        <v>3</v>
      </c>
      <c r="O15" s="157">
        <v>5</v>
      </c>
      <c r="P15" s="157">
        <v>9</v>
      </c>
      <c r="Q15" s="157">
        <v>21</v>
      </c>
      <c r="R15" s="165">
        <v>21</v>
      </c>
      <c r="S15" s="168">
        <v>176902170</v>
      </c>
      <c r="T15" s="157">
        <v>380984389</v>
      </c>
      <c r="U15" s="157">
        <v>713307454</v>
      </c>
      <c r="V15" s="157">
        <v>1320205273</v>
      </c>
      <c r="W15" s="165">
        <v>1320205273</v>
      </c>
      <c r="X15" s="256">
        <v>-19.899999999999999</v>
      </c>
      <c r="Y15" s="162">
        <v>-1.1000000000000001</v>
      </c>
      <c r="Z15" s="162">
        <v>12</v>
      </c>
      <c r="AA15" s="167">
        <v>12</v>
      </c>
      <c r="AB15" s="168">
        <v>-70129710</v>
      </c>
      <c r="AC15" s="157">
        <v>13665831</v>
      </c>
      <c r="AD15" s="158">
        <v>13665831</v>
      </c>
      <c r="AE15" s="166">
        <v>-97.6</v>
      </c>
      <c r="AF15" s="162">
        <v>44.8</v>
      </c>
      <c r="AG15" s="167">
        <v>44.8</v>
      </c>
      <c r="AH15" s="131">
        <v>271237</v>
      </c>
      <c r="AI15" s="125">
        <v>732522</v>
      </c>
      <c r="AJ15" s="126">
        <v>732522</v>
      </c>
      <c r="AK15" s="143">
        <v>-21.6</v>
      </c>
      <c r="AL15" s="139">
        <v>17</v>
      </c>
      <c r="AM15" s="140">
        <v>17</v>
      </c>
      <c r="AN15" s="396">
        <v>54.9</v>
      </c>
    </row>
    <row r="16" spans="2:40" ht="23.25" customHeight="1">
      <c r="B16" s="5">
        <v>12</v>
      </c>
      <c r="C16" s="2" t="s">
        <v>19</v>
      </c>
      <c r="D16" s="181">
        <v>3000000000</v>
      </c>
      <c r="E16" s="271">
        <v>12</v>
      </c>
      <c r="F16" s="182">
        <v>0.443</v>
      </c>
      <c r="G16" s="183">
        <v>12667</v>
      </c>
      <c r="H16" s="184">
        <v>9458750</v>
      </c>
      <c r="I16" s="164">
        <v>12289</v>
      </c>
      <c r="J16" s="155">
        <v>14008</v>
      </c>
      <c r="K16" s="155">
        <v>15956</v>
      </c>
      <c r="L16" s="155">
        <v>19009</v>
      </c>
      <c r="M16" s="156">
        <v>19009</v>
      </c>
      <c r="N16" s="164">
        <v>2</v>
      </c>
      <c r="O16" s="155">
        <v>5</v>
      </c>
      <c r="P16" s="155">
        <v>6</v>
      </c>
      <c r="Q16" s="155">
        <v>10</v>
      </c>
      <c r="R16" s="170">
        <v>10</v>
      </c>
      <c r="S16" s="164">
        <v>157038077</v>
      </c>
      <c r="T16" s="155">
        <v>331951003</v>
      </c>
      <c r="U16" s="155">
        <v>915570967</v>
      </c>
      <c r="V16" s="155">
        <v>1383900705</v>
      </c>
      <c r="W16" s="170">
        <v>1383900705</v>
      </c>
      <c r="X16" s="255">
        <v>-14.2</v>
      </c>
      <c r="Y16" s="160">
        <v>8.6999999999999993</v>
      </c>
      <c r="Z16" s="160">
        <v>20.399999999999999</v>
      </c>
      <c r="AA16" s="161">
        <v>20.399999999999999</v>
      </c>
      <c r="AB16" s="164">
        <v>-142159409</v>
      </c>
      <c r="AC16" s="155">
        <v>-55487875</v>
      </c>
      <c r="AD16" s="156">
        <v>-55487875</v>
      </c>
      <c r="AE16" s="159">
        <v>-158.19999999999999</v>
      </c>
      <c r="AF16" s="160">
        <v>58.9</v>
      </c>
      <c r="AG16" s="161">
        <v>58.9</v>
      </c>
      <c r="AH16" s="129">
        <v>495447</v>
      </c>
      <c r="AI16" s="3">
        <v>916554</v>
      </c>
      <c r="AJ16" s="4">
        <v>916554</v>
      </c>
      <c r="AK16" s="141">
        <v>-46.5</v>
      </c>
      <c r="AL16" s="6">
        <v>21.4</v>
      </c>
      <c r="AM16" s="7">
        <v>21.4</v>
      </c>
      <c r="AN16" s="396">
        <v>61.8</v>
      </c>
    </row>
    <row r="17" spans="2:40" ht="23.25" customHeight="1">
      <c r="B17" s="5">
        <v>13</v>
      </c>
      <c r="C17" s="2" t="s">
        <v>20</v>
      </c>
      <c r="D17" s="181">
        <v>3000000000</v>
      </c>
      <c r="E17" s="271">
        <v>13</v>
      </c>
      <c r="F17" s="182">
        <v>0.48</v>
      </c>
      <c r="G17" s="183">
        <v>13326</v>
      </c>
      <c r="H17" s="184">
        <v>9854065</v>
      </c>
      <c r="I17" s="164">
        <v>12133</v>
      </c>
      <c r="J17" s="155">
        <v>14401</v>
      </c>
      <c r="K17" s="155">
        <v>16417</v>
      </c>
      <c r="L17" s="155">
        <v>21324</v>
      </c>
      <c r="M17" s="156">
        <v>21324</v>
      </c>
      <c r="N17" s="164">
        <v>3</v>
      </c>
      <c r="O17" s="155">
        <v>5</v>
      </c>
      <c r="P17" s="155">
        <v>8</v>
      </c>
      <c r="Q17" s="155">
        <v>13</v>
      </c>
      <c r="R17" s="170">
        <v>13</v>
      </c>
      <c r="S17" s="164">
        <v>218587946</v>
      </c>
      <c r="T17" s="155">
        <v>492340365</v>
      </c>
      <c r="U17" s="155">
        <v>770674012</v>
      </c>
      <c r="V17" s="155">
        <v>1274240563</v>
      </c>
      <c r="W17" s="170">
        <v>1274240563</v>
      </c>
      <c r="X17" s="255">
        <v>-28.4</v>
      </c>
      <c r="Y17" s="160">
        <v>5.4</v>
      </c>
      <c r="Z17" s="160">
        <v>26.5</v>
      </c>
      <c r="AA17" s="161">
        <v>26.5</v>
      </c>
      <c r="AB17" s="164">
        <v>-85469383</v>
      </c>
      <c r="AC17" s="155">
        <v>19640530</v>
      </c>
      <c r="AD17" s="156">
        <v>19640530</v>
      </c>
      <c r="AE17" s="159">
        <v>-93.7</v>
      </c>
      <c r="AF17" s="160">
        <v>86.7</v>
      </c>
      <c r="AG17" s="161">
        <v>86.7</v>
      </c>
      <c r="AH17" s="129">
        <v>362187</v>
      </c>
      <c r="AI17" s="3">
        <v>638955</v>
      </c>
      <c r="AJ17" s="4">
        <v>638955</v>
      </c>
      <c r="AK17" s="141">
        <v>-20.3</v>
      </c>
      <c r="AL17" s="6">
        <v>43</v>
      </c>
      <c r="AM17" s="7">
        <v>43</v>
      </c>
      <c r="AN17" s="396">
        <v>39.08</v>
      </c>
    </row>
    <row r="18" spans="2:40" ht="23.25" customHeight="1">
      <c r="B18" s="5">
        <v>14</v>
      </c>
      <c r="C18" s="2" t="s">
        <v>28</v>
      </c>
      <c r="D18" s="181">
        <v>3000000000</v>
      </c>
      <c r="E18" s="271">
        <v>14</v>
      </c>
      <c r="F18" s="182">
        <v>0.77800000000000002</v>
      </c>
      <c r="G18" s="183">
        <v>12964</v>
      </c>
      <c r="H18" s="184">
        <v>8879337</v>
      </c>
      <c r="I18" s="164">
        <v>11636</v>
      </c>
      <c r="J18" s="155">
        <v>12677</v>
      </c>
      <c r="K18" s="155">
        <v>14069</v>
      </c>
      <c r="L18" s="155">
        <v>16643</v>
      </c>
      <c r="M18" s="156">
        <v>16643</v>
      </c>
      <c r="N18" s="164">
        <v>5</v>
      </c>
      <c r="O18" s="155">
        <v>7</v>
      </c>
      <c r="P18" s="155">
        <v>13</v>
      </c>
      <c r="Q18" s="155">
        <v>26</v>
      </c>
      <c r="R18" s="170">
        <v>26</v>
      </c>
      <c r="S18" s="164">
        <v>263130024</v>
      </c>
      <c r="T18" s="155">
        <v>485420101</v>
      </c>
      <c r="U18" s="155">
        <v>764197525</v>
      </c>
      <c r="V18" s="155">
        <v>1291859616</v>
      </c>
      <c r="W18" s="170">
        <v>1291859616</v>
      </c>
      <c r="X18" s="255">
        <v>-16.899999999999999</v>
      </c>
      <c r="Y18" s="160">
        <v>5.0999999999999996</v>
      </c>
      <c r="Z18" s="160">
        <v>20.100000000000001</v>
      </c>
      <c r="AA18" s="161">
        <v>20.100000000000001</v>
      </c>
      <c r="AB18" s="164">
        <v>-57990728</v>
      </c>
      <c r="AC18" s="155">
        <v>6431554</v>
      </c>
      <c r="AD18" s="156">
        <v>6431554</v>
      </c>
      <c r="AE18" s="159">
        <v>-152.30000000000001</v>
      </c>
      <c r="AF18" s="160">
        <v>51.5</v>
      </c>
      <c r="AG18" s="161">
        <v>51.5</v>
      </c>
      <c r="AH18" s="129">
        <v>222664</v>
      </c>
      <c r="AI18" s="3">
        <v>418524</v>
      </c>
      <c r="AJ18" s="4">
        <v>418524</v>
      </c>
      <c r="AK18" s="141">
        <v>-19.100000000000001</v>
      </c>
      <c r="AL18" s="6">
        <v>22.7</v>
      </c>
      <c r="AM18" s="7">
        <v>22.7</v>
      </c>
      <c r="AN18" s="396">
        <v>61.234782608695646</v>
      </c>
    </row>
    <row r="19" spans="2:40" ht="23.25" customHeight="1">
      <c r="B19" s="5">
        <v>16</v>
      </c>
      <c r="C19" s="2" t="s">
        <v>21</v>
      </c>
      <c r="D19" s="181">
        <v>1000000000</v>
      </c>
      <c r="E19" s="271">
        <v>15</v>
      </c>
      <c r="F19" s="182">
        <v>0.5</v>
      </c>
      <c r="G19" s="183">
        <v>12385</v>
      </c>
      <c r="H19" s="184">
        <v>27287319</v>
      </c>
      <c r="I19" s="164">
        <v>11820</v>
      </c>
      <c r="J19" s="155">
        <v>12757</v>
      </c>
      <c r="K19" s="155">
        <v>14323</v>
      </c>
      <c r="L19" s="155">
        <v>17667</v>
      </c>
      <c r="M19" s="156">
        <v>17667</v>
      </c>
      <c r="N19" s="164">
        <v>2</v>
      </c>
      <c r="O19" s="155">
        <v>3</v>
      </c>
      <c r="P19" s="155">
        <v>4</v>
      </c>
      <c r="Q19" s="155">
        <v>7</v>
      </c>
      <c r="R19" s="170">
        <v>7</v>
      </c>
      <c r="S19" s="164">
        <v>103204265</v>
      </c>
      <c r="T19" s="155">
        <v>175086039</v>
      </c>
      <c r="U19" s="155">
        <v>279902709</v>
      </c>
      <c r="V19" s="155">
        <v>459327456</v>
      </c>
      <c r="W19" s="170">
        <v>459327456</v>
      </c>
      <c r="X19" s="255">
        <v>-20.9</v>
      </c>
      <c r="Y19" s="160">
        <v>3</v>
      </c>
      <c r="Z19" s="160">
        <v>26.8</v>
      </c>
      <c r="AA19" s="161">
        <v>26.8</v>
      </c>
      <c r="AB19" s="164">
        <v>-73088577</v>
      </c>
      <c r="AC19" s="155">
        <v>-2410868</v>
      </c>
      <c r="AD19" s="156">
        <v>-2410868</v>
      </c>
      <c r="AE19" s="159">
        <v>-100</v>
      </c>
      <c r="AF19" s="160">
        <v>76.599999999999994</v>
      </c>
      <c r="AG19" s="161">
        <v>76.599999999999994</v>
      </c>
      <c r="AH19" s="129">
        <v>246710</v>
      </c>
      <c r="AI19" s="3">
        <v>546209</v>
      </c>
      <c r="AJ19" s="4">
        <v>546209</v>
      </c>
      <c r="AK19" s="141">
        <v>-20.8</v>
      </c>
      <c r="AL19" s="6">
        <v>52.9</v>
      </c>
      <c r="AM19" s="7">
        <v>52.9</v>
      </c>
      <c r="AN19" s="396">
        <v>53.986440677966122</v>
      </c>
    </row>
    <row r="20" spans="2:40" ht="23.25" customHeight="1">
      <c r="B20" s="5">
        <v>17</v>
      </c>
      <c r="C20" s="2" t="s">
        <v>22</v>
      </c>
      <c r="D20" s="181">
        <v>1000000000</v>
      </c>
      <c r="E20" s="271">
        <v>16</v>
      </c>
      <c r="F20" s="182">
        <v>0.75700000000000001</v>
      </c>
      <c r="G20" s="183">
        <v>13047</v>
      </c>
      <c r="H20" s="184">
        <v>51139573</v>
      </c>
      <c r="I20" s="164">
        <v>11587</v>
      </c>
      <c r="J20" s="155">
        <v>12579</v>
      </c>
      <c r="K20" s="155">
        <v>13549</v>
      </c>
      <c r="L20" s="155">
        <v>15702</v>
      </c>
      <c r="M20" s="156">
        <v>15702</v>
      </c>
      <c r="N20" s="164">
        <v>4</v>
      </c>
      <c r="O20" s="155">
        <v>7</v>
      </c>
      <c r="P20" s="155">
        <v>14</v>
      </c>
      <c r="Q20" s="155">
        <v>25</v>
      </c>
      <c r="R20" s="170">
        <v>25</v>
      </c>
      <c r="S20" s="164">
        <v>134488950</v>
      </c>
      <c r="T20" s="155">
        <v>303659200</v>
      </c>
      <c r="U20" s="155">
        <v>460007630</v>
      </c>
      <c r="V20" s="155">
        <v>778816410</v>
      </c>
      <c r="W20" s="170">
        <v>778816410</v>
      </c>
      <c r="X20" s="255">
        <v>-10</v>
      </c>
      <c r="Y20" s="160">
        <v>3.9</v>
      </c>
      <c r="Z20" s="160">
        <v>18.2</v>
      </c>
      <c r="AA20" s="161">
        <v>18.2</v>
      </c>
      <c r="AB20" s="164">
        <v>-96619097</v>
      </c>
      <c r="AC20" s="155">
        <v>0</v>
      </c>
      <c r="AD20" s="156">
        <v>0</v>
      </c>
      <c r="AE20" s="159">
        <v>-100</v>
      </c>
      <c r="AF20" s="160">
        <v>79.099999999999994</v>
      </c>
      <c r="AG20" s="161">
        <v>79.099999999999994</v>
      </c>
      <c r="AH20" s="129">
        <v>186575</v>
      </c>
      <c r="AI20" s="3">
        <v>322835</v>
      </c>
      <c r="AJ20" s="4">
        <v>322835</v>
      </c>
      <c r="AK20" s="141">
        <v>-24.1</v>
      </c>
      <c r="AL20" s="6">
        <v>23</v>
      </c>
      <c r="AM20" s="7">
        <v>23</v>
      </c>
      <c r="AN20" s="396">
        <v>61.656000000000013</v>
      </c>
    </row>
    <row r="21" spans="2:40" ht="23.25" customHeight="1">
      <c r="B21" s="5">
        <v>18</v>
      </c>
      <c r="C21" s="2" t="s">
        <v>23</v>
      </c>
      <c r="D21" s="181">
        <v>3000000000</v>
      </c>
      <c r="E21" s="271">
        <v>17</v>
      </c>
      <c r="F21" s="182">
        <v>0.42899999999999999</v>
      </c>
      <c r="G21" s="183">
        <v>12565</v>
      </c>
      <c r="H21" s="184">
        <v>12953605</v>
      </c>
      <c r="I21" s="164">
        <v>11636</v>
      </c>
      <c r="J21" s="155">
        <v>12289</v>
      </c>
      <c r="K21" s="155">
        <v>13825</v>
      </c>
      <c r="L21" s="155">
        <v>16475</v>
      </c>
      <c r="M21" s="156">
        <v>16475</v>
      </c>
      <c r="N21" s="164">
        <v>2</v>
      </c>
      <c r="O21" s="155">
        <v>3</v>
      </c>
      <c r="P21" s="155">
        <v>5</v>
      </c>
      <c r="Q21" s="155">
        <v>8</v>
      </c>
      <c r="R21" s="170">
        <v>8</v>
      </c>
      <c r="S21" s="164">
        <v>119743699</v>
      </c>
      <c r="T21" s="155">
        <v>266734005</v>
      </c>
      <c r="U21" s="155">
        <v>420773850</v>
      </c>
      <c r="V21" s="155">
        <v>768369177</v>
      </c>
      <c r="W21" s="170">
        <v>768369177</v>
      </c>
      <c r="X21" s="255">
        <v>-20.399999999999999</v>
      </c>
      <c r="Y21" s="160">
        <v>6.4</v>
      </c>
      <c r="Z21" s="160">
        <v>36.5</v>
      </c>
      <c r="AA21" s="161">
        <v>36.5</v>
      </c>
      <c r="AB21" s="164">
        <v>-86654098</v>
      </c>
      <c r="AC21" s="155">
        <v>-6211939</v>
      </c>
      <c r="AD21" s="156">
        <v>-6211939</v>
      </c>
      <c r="AE21" s="159">
        <v>-99.3</v>
      </c>
      <c r="AF21" s="160">
        <v>68.599999999999994</v>
      </c>
      <c r="AG21" s="161">
        <v>68.599999999999994</v>
      </c>
      <c r="AH21" s="129">
        <v>239960</v>
      </c>
      <c r="AI21" s="3">
        <v>680508</v>
      </c>
      <c r="AJ21" s="4">
        <v>680508</v>
      </c>
      <c r="AK21" s="141">
        <v>-17.5</v>
      </c>
      <c r="AL21" s="6">
        <v>64.599999999999994</v>
      </c>
      <c r="AM21" s="7">
        <v>64.599999999999994</v>
      </c>
      <c r="AN21" s="396">
        <v>49.79999999999999</v>
      </c>
    </row>
    <row r="22" spans="2:40" ht="23.25" customHeight="1" thickBot="1">
      <c r="B22" s="199">
        <v>19</v>
      </c>
      <c r="C22" s="200" t="s">
        <v>24</v>
      </c>
      <c r="D22" s="201">
        <v>1000000000</v>
      </c>
      <c r="E22" s="272">
        <v>18</v>
      </c>
      <c r="F22" s="190">
        <v>0.6</v>
      </c>
      <c r="G22" s="191">
        <v>12276</v>
      </c>
      <c r="H22" s="192">
        <v>7417702</v>
      </c>
      <c r="I22" s="193">
        <v>11582</v>
      </c>
      <c r="J22" s="194">
        <v>12097</v>
      </c>
      <c r="K22" s="194">
        <v>13057</v>
      </c>
      <c r="L22" s="194">
        <v>15186</v>
      </c>
      <c r="M22" s="195">
        <v>15186</v>
      </c>
      <c r="N22" s="193">
        <v>4</v>
      </c>
      <c r="O22" s="194">
        <v>6</v>
      </c>
      <c r="P22" s="194">
        <v>8</v>
      </c>
      <c r="Q22" s="194">
        <v>11</v>
      </c>
      <c r="R22" s="196">
        <v>11</v>
      </c>
      <c r="S22" s="164">
        <v>106289785</v>
      </c>
      <c r="T22" s="155">
        <v>311655876</v>
      </c>
      <c r="U22" s="155">
        <v>412413636</v>
      </c>
      <c r="V22" s="155">
        <v>707530897</v>
      </c>
      <c r="W22" s="170">
        <v>707530897</v>
      </c>
      <c r="X22" s="255">
        <v>-23.3</v>
      </c>
      <c r="Y22" s="160">
        <v>0</v>
      </c>
      <c r="Z22" s="160">
        <v>27.6</v>
      </c>
      <c r="AA22" s="161">
        <v>27.6</v>
      </c>
      <c r="AB22" s="164">
        <v>-68643642</v>
      </c>
      <c r="AC22" s="155">
        <v>3446561</v>
      </c>
      <c r="AD22" s="156">
        <v>3446561</v>
      </c>
      <c r="AE22" s="159">
        <v>-77.900000000000006</v>
      </c>
      <c r="AF22" s="160">
        <v>75.099999999999994</v>
      </c>
      <c r="AG22" s="161">
        <v>75.099999999999994</v>
      </c>
      <c r="AH22" s="129">
        <v>150580</v>
      </c>
      <c r="AI22" s="3">
        <v>432591</v>
      </c>
      <c r="AJ22" s="4">
        <v>432591</v>
      </c>
      <c r="AK22" s="141">
        <v>-24</v>
      </c>
      <c r="AL22" s="6">
        <v>33.799999999999997</v>
      </c>
      <c r="AM22" s="7">
        <v>33.799999999999997</v>
      </c>
      <c r="AN22" s="396">
        <v>56.333333333333336</v>
      </c>
    </row>
    <row r="23" spans="2:40" s="203" customFormat="1" ht="23.25" customHeight="1" thickBot="1">
      <c r="B23" s="205"/>
      <c r="C23" s="846" t="s">
        <v>345</v>
      </c>
      <c r="D23" s="847"/>
      <c r="E23" s="204"/>
      <c r="F23" s="198">
        <v>0.66200000000000003</v>
      </c>
      <c r="G23" s="124">
        <v>12743</v>
      </c>
      <c r="H23" s="124">
        <v>18007103</v>
      </c>
      <c r="I23" s="125">
        <v>11636</v>
      </c>
      <c r="J23" s="125">
        <v>12650</v>
      </c>
      <c r="K23" s="125">
        <v>14169</v>
      </c>
      <c r="L23" s="125">
        <v>17446</v>
      </c>
      <c r="M23" s="126">
        <v>17446</v>
      </c>
      <c r="N23" s="136">
        <v>3</v>
      </c>
      <c r="O23" s="137">
        <v>5</v>
      </c>
      <c r="P23" s="137">
        <v>9</v>
      </c>
      <c r="Q23" s="137">
        <v>21</v>
      </c>
      <c r="R23" s="138">
        <v>21</v>
      </c>
      <c r="S23" s="168">
        <v>176902170</v>
      </c>
      <c r="T23" s="157">
        <v>380984389</v>
      </c>
      <c r="U23" s="157">
        <v>713307454</v>
      </c>
      <c r="V23" s="157">
        <v>1320205273</v>
      </c>
      <c r="W23" s="165">
        <v>1320205273</v>
      </c>
      <c r="X23" s="257">
        <v>-19.899999999999999</v>
      </c>
      <c r="Y23" s="174">
        <v>-1.1000000000000001</v>
      </c>
      <c r="Z23" s="174">
        <v>12</v>
      </c>
      <c r="AA23" s="175">
        <v>12</v>
      </c>
      <c r="AB23" s="177">
        <v>-70129710</v>
      </c>
      <c r="AC23" s="178">
        <v>13665831</v>
      </c>
      <c r="AD23" s="179">
        <v>13665831</v>
      </c>
      <c r="AE23" s="173">
        <v>-97.6</v>
      </c>
      <c r="AF23" s="174">
        <v>44.8</v>
      </c>
      <c r="AG23" s="175">
        <v>44.8</v>
      </c>
      <c r="AH23" s="133">
        <v>271237</v>
      </c>
      <c r="AI23" s="134">
        <v>732522</v>
      </c>
      <c r="AJ23" s="149">
        <v>732522</v>
      </c>
      <c r="AK23" s="145">
        <v>-21.6</v>
      </c>
      <c r="AL23" s="146">
        <v>17</v>
      </c>
      <c r="AM23" s="147">
        <v>17</v>
      </c>
      <c r="AN23" s="396">
        <v>54.9</v>
      </c>
    </row>
    <row r="24" spans="2:40" s="203" customFormat="1" ht="23.25" customHeight="1">
      <c r="B24" s="218"/>
      <c r="C24" s="219"/>
      <c r="D24" s="219"/>
      <c r="E24" s="220"/>
      <c r="F24" s="853" t="s">
        <v>51</v>
      </c>
      <c r="G24" s="854"/>
      <c r="H24" s="209" t="s">
        <v>54</v>
      </c>
      <c r="I24" s="855" t="s">
        <v>344</v>
      </c>
      <c r="J24" s="856"/>
      <c r="K24" s="856"/>
      <c r="L24" s="856"/>
      <c r="M24" s="856"/>
      <c r="N24" s="850" t="s">
        <v>30</v>
      </c>
      <c r="O24" s="851"/>
      <c r="P24" s="851"/>
      <c r="Q24" s="851"/>
      <c r="R24" s="852"/>
      <c r="S24" s="258" t="s">
        <v>31</v>
      </c>
      <c r="T24" s="259"/>
      <c r="U24" s="259"/>
      <c r="V24" s="259"/>
      <c r="W24" s="260"/>
      <c r="X24" s="152" t="s">
        <v>38</v>
      </c>
      <c r="Y24" s="153"/>
      <c r="Z24" s="153"/>
      <c r="AA24" s="154"/>
      <c r="AB24" s="152" t="s">
        <v>41</v>
      </c>
      <c r="AC24" s="153"/>
      <c r="AD24" s="154"/>
      <c r="AE24" s="152" t="s">
        <v>44</v>
      </c>
      <c r="AF24" s="153"/>
      <c r="AG24" s="154"/>
      <c r="AH24" s="152" t="s">
        <v>46</v>
      </c>
      <c r="AI24" s="153"/>
      <c r="AJ24" s="154"/>
      <c r="AK24" s="152" t="s">
        <v>48</v>
      </c>
      <c r="AL24" s="153"/>
      <c r="AM24" s="154"/>
      <c r="AN24" s="397"/>
    </row>
    <row r="25" spans="2:40" ht="26.25" customHeight="1">
      <c r="B25" s="848" t="s">
        <v>3</v>
      </c>
      <c r="C25" s="849"/>
      <c r="D25" s="269" t="s">
        <v>347</v>
      </c>
      <c r="E25" s="270" t="s">
        <v>342</v>
      </c>
      <c r="F25" s="262" t="s">
        <v>6</v>
      </c>
      <c r="G25" s="263" t="s">
        <v>7</v>
      </c>
      <c r="H25" s="264" t="s">
        <v>4</v>
      </c>
      <c r="I25" s="262" t="s">
        <v>26</v>
      </c>
      <c r="J25" s="265" t="s">
        <v>32</v>
      </c>
      <c r="K25" s="265" t="s">
        <v>33</v>
      </c>
      <c r="L25" s="265" t="s">
        <v>34</v>
      </c>
      <c r="M25" s="266" t="s">
        <v>27</v>
      </c>
      <c r="N25" s="262" t="s">
        <v>25</v>
      </c>
      <c r="O25" s="265" t="s">
        <v>32</v>
      </c>
      <c r="P25" s="265" t="s">
        <v>33</v>
      </c>
      <c r="Q25" s="265" t="s">
        <v>34</v>
      </c>
      <c r="R25" s="263" t="s">
        <v>27</v>
      </c>
      <c r="S25" s="262" t="s">
        <v>25</v>
      </c>
      <c r="T25" s="265" t="s">
        <v>32</v>
      </c>
      <c r="U25" s="265" t="s">
        <v>33</v>
      </c>
      <c r="V25" s="265" t="s">
        <v>34</v>
      </c>
      <c r="W25" s="263" t="s">
        <v>27</v>
      </c>
      <c r="X25" s="261" t="s">
        <v>25</v>
      </c>
      <c r="Y25" s="265" t="s">
        <v>32</v>
      </c>
      <c r="Z25" s="265" t="s">
        <v>33</v>
      </c>
      <c r="AA25" s="263" t="s">
        <v>37</v>
      </c>
      <c r="AB25" s="77" t="s">
        <v>25</v>
      </c>
      <c r="AC25" s="77" t="s">
        <v>42</v>
      </c>
      <c r="AD25" s="263" t="s">
        <v>37</v>
      </c>
      <c r="AE25" s="77" t="s">
        <v>25</v>
      </c>
      <c r="AF25" s="77" t="s">
        <v>42</v>
      </c>
      <c r="AG25" s="263" t="s">
        <v>37</v>
      </c>
      <c r="AH25" s="77" t="s">
        <v>25</v>
      </c>
      <c r="AI25" s="77" t="s">
        <v>42</v>
      </c>
      <c r="AJ25" s="263" t="s">
        <v>37</v>
      </c>
      <c r="AK25" s="77" t="s">
        <v>25</v>
      </c>
      <c r="AL25" s="77" t="s">
        <v>42</v>
      </c>
      <c r="AM25" s="263" t="s">
        <v>37</v>
      </c>
      <c r="AN25" s="396"/>
    </row>
    <row r="26" spans="2:40" ht="23.25" customHeight="1">
      <c r="B26" s="5">
        <v>1</v>
      </c>
      <c r="C26" s="2" t="s">
        <v>15</v>
      </c>
      <c r="D26" s="216">
        <v>8000000000</v>
      </c>
      <c r="E26" s="271">
        <v>21</v>
      </c>
      <c r="F26" s="182">
        <v>0.73299999999999998</v>
      </c>
      <c r="G26" s="183">
        <v>11751</v>
      </c>
      <c r="H26" s="184">
        <v>3438800</v>
      </c>
      <c r="I26" s="164">
        <v>11582</v>
      </c>
      <c r="J26" s="155">
        <v>11674</v>
      </c>
      <c r="K26" s="185">
        <v>12289</v>
      </c>
      <c r="L26" s="185">
        <v>14401</v>
      </c>
      <c r="M26" s="156">
        <v>14401</v>
      </c>
      <c r="N26" s="168">
        <v>3</v>
      </c>
      <c r="O26" s="157">
        <v>5</v>
      </c>
      <c r="P26" s="157">
        <v>9</v>
      </c>
      <c r="Q26" s="157">
        <v>21</v>
      </c>
      <c r="R26" s="165">
        <v>21</v>
      </c>
      <c r="S26" s="168">
        <v>176902170</v>
      </c>
      <c r="T26" s="157">
        <v>380984389</v>
      </c>
      <c r="U26" s="157">
        <v>713307454</v>
      </c>
      <c r="V26" s="157">
        <v>1320205273</v>
      </c>
      <c r="W26" s="165">
        <v>1320205273</v>
      </c>
      <c r="X26" s="256">
        <v>-19.899999999999999</v>
      </c>
      <c r="Y26" s="162">
        <v>-1.1000000000000001</v>
      </c>
      <c r="Z26" s="162">
        <v>12</v>
      </c>
      <c r="AA26" s="163">
        <v>12</v>
      </c>
      <c r="AB26" s="157">
        <v>-70129710</v>
      </c>
      <c r="AC26" s="157">
        <v>13665831</v>
      </c>
      <c r="AD26" s="165">
        <v>13665831</v>
      </c>
      <c r="AE26" s="162">
        <v>-97.6</v>
      </c>
      <c r="AF26" s="162">
        <v>44.8</v>
      </c>
      <c r="AG26" s="163">
        <v>44.8</v>
      </c>
      <c r="AH26" s="125">
        <v>271237</v>
      </c>
      <c r="AI26" s="125">
        <v>732522</v>
      </c>
      <c r="AJ26" s="132">
        <v>732522</v>
      </c>
      <c r="AK26" s="139">
        <v>-21.6</v>
      </c>
      <c r="AL26" s="139">
        <v>17</v>
      </c>
      <c r="AM26" s="142">
        <v>17</v>
      </c>
      <c r="AN26" s="396">
        <v>53.29999999999999</v>
      </c>
    </row>
    <row r="27" spans="2:40" ht="23.25" customHeight="1">
      <c r="B27" s="5">
        <v>2</v>
      </c>
      <c r="C27" s="2" t="s">
        <v>10</v>
      </c>
      <c r="D27" s="216">
        <v>8000000000</v>
      </c>
      <c r="E27" s="271">
        <v>22</v>
      </c>
      <c r="F27" s="186">
        <v>0.66200000000000003</v>
      </c>
      <c r="G27" s="187">
        <v>12743</v>
      </c>
      <c r="H27" s="188">
        <v>18007103</v>
      </c>
      <c r="I27" s="168">
        <v>11636</v>
      </c>
      <c r="J27" s="157">
        <v>12650</v>
      </c>
      <c r="K27" s="157">
        <v>14169</v>
      </c>
      <c r="L27" s="157">
        <v>17446</v>
      </c>
      <c r="M27" s="158">
        <v>17446</v>
      </c>
      <c r="N27" s="168">
        <v>3</v>
      </c>
      <c r="O27" s="157">
        <v>5</v>
      </c>
      <c r="P27" s="157">
        <v>9</v>
      </c>
      <c r="Q27" s="157">
        <v>21</v>
      </c>
      <c r="R27" s="165">
        <v>21</v>
      </c>
      <c r="S27" s="168">
        <v>176902170</v>
      </c>
      <c r="T27" s="157">
        <v>380984389</v>
      </c>
      <c r="U27" s="157">
        <v>713307454</v>
      </c>
      <c r="V27" s="157">
        <v>1320205273</v>
      </c>
      <c r="W27" s="165">
        <v>1320205273</v>
      </c>
      <c r="X27" s="256">
        <v>-19.899999999999999</v>
      </c>
      <c r="Y27" s="162">
        <v>-1.1000000000000001</v>
      </c>
      <c r="Z27" s="162">
        <v>12</v>
      </c>
      <c r="AA27" s="163">
        <v>12</v>
      </c>
      <c r="AB27" s="157">
        <v>-70129710</v>
      </c>
      <c r="AC27" s="157">
        <v>13665831</v>
      </c>
      <c r="AD27" s="165">
        <v>13665831</v>
      </c>
      <c r="AE27" s="162">
        <v>-97.6</v>
      </c>
      <c r="AF27" s="162">
        <v>44.8</v>
      </c>
      <c r="AG27" s="163">
        <v>44.8</v>
      </c>
      <c r="AH27" s="125">
        <v>271237</v>
      </c>
      <c r="AI27" s="125">
        <v>732522</v>
      </c>
      <c r="AJ27" s="132">
        <v>732522</v>
      </c>
      <c r="AK27" s="139">
        <v>-21.6</v>
      </c>
      <c r="AL27" s="139">
        <v>17</v>
      </c>
      <c r="AM27" s="142">
        <v>17</v>
      </c>
      <c r="AN27" s="396">
        <v>54.9</v>
      </c>
    </row>
    <row r="28" spans="2:40" ht="23.25" customHeight="1">
      <c r="B28" s="5">
        <v>3</v>
      </c>
      <c r="C28" s="2" t="s">
        <v>0</v>
      </c>
      <c r="D28" s="216">
        <v>10000000000</v>
      </c>
      <c r="E28" s="271">
        <v>23</v>
      </c>
      <c r="F28" s="182">
        <v>0.61499999999999999</v>
      </c>
      <c r="G28" s="183">
        <v>11924</v>
      </c>
      <c r="H28" s="184">
        <v>11273941</v>
      </c>
      <c r="I28" s="164">
        <v>11582</v>
      </c>
      <c r="J28" s="155">
        <v>12097</v>
      </c>
      <c r="K28" s="155">
        <v>14174</v>
      </c>
      <c r="L28" s="155">
        <v>18225</v>
      </c>
      <c r="M28" s="156">
        <v>18225</v>
      </c>
      <c r="N28" s="164">
        <v>25</v>
      </c>
      <c r="O28" s="155">
        <v>34</v>
      </c>
      <c r="P28" s="155">
        <v>46</v>
      </c>
      <c r="Q28" s="155">
        <v>63</v>
      </c>
      <c r="R28" s="170">
        <v>63</v>
      </c>
      <c r="S28" s="164">
        <v>11656338721</v>
      </c>
      <c r="T28" s="155">
        <v>13216274371</v>
      </c>
      <c r="U28" s="155">
        <v>15761030781</v>
      </c>
      <c r="V28" s="155">
        <v>19675160541</v>
      </c>
      <c r="W28" s="170">
        <v>19675160541</v>
      </c>
      <c r="X28" s="255">
        <v>-4.7</v>
      </c>
      <c r="Y28" s="160">
        <v>13</v>
      </c>
      <c r="Z28" s="160">
        <v>20.9</v>
      </c>
      <c r="AA28" s="169">
        <v>20.9</v>
      </c>
      <c r="AB28" s="155">
        <v>-86349049</v>
      </c>
      <c r="AC28" s="155">
        <v>511118376</v>
      </c>
      <c r="AD28" s="170">
        <v>511118376</v>
      </c>
      <c r="AE28" s="160">
        <v>-62.9</v>
      </c>
      <c r="AF28" s="160">
        <v>80.2</v>
      </c>
      <c r="AG28" s="169">
        <v>80.2</v>
      </c>
      <c r="AH28" s="3">
        <v>1418248</v>
      </c>
      <c r="AI28" s="3">
        <v>3287588</v>
      </c>
      <c r="AJ28" s="130">
        <v>3287588</v>
      </c>
      <c r="AK28" s="6">
        <v>-17.3</v>
      </c>
      <c r="AL28" s="6">
        <v>13.9</v>
      </c>
      <c r="AM28" s="144">
        <v>13.9</v>
      </c>
      <c r="AN28" s="396">
        <v>54.02121212121213</v>
      </c>
    </row>
    <row r="29" spans="2:40" ht="23.25" customHeight="1">
      <c r="B29" s="5">
        <v>4</v>
      </c>
      <c r="C29" s="2" t="s">
        <v>11</v>
      </c>
      <c r="D29" s="216">
        <v>12000000000</v>
      </c>
      <c r="E29" s="271">
        <v>24</v>
      </c>
      <c r="F29" s="182">
        <v>0.8</v>
      </c>
      <c r="G29" s="183">
        <v>12481</v>
      </c>
      <c r="H29" s="184">
        <v>5359873</v>
      </c>
      <c r="I29" s="164">
        <v>12097</v>
      </c>
      <c r="J29" s="155">
        <v>14401</v>
      </c>
      <c r="K29" s="155">
        <v>15921</v>
      </c>
      <c r="L29" s="155">
        <v>19750</v>
      </c>
      <c r="M29" s="156">
        <v>19750</v>
      </c>
      <c r="N29" s="168">
        <v>3</v>
      </c>
      <c r="O29" s="157">
        <v>5</v>
      </c>
      <c r="P29" s="157">
        <v>9</v>
      </c>
      <c r="Q29" s="157">
        <v>21</v>
      </c>
      <c r="R29" s="165">
        <v>21</v>
      </c>
      <c r="S29" s="168">
        <v>176902170</v>
      </c>
      <c r="T29" s="157">
        <v>380984389</v>
      </c>
      <c r="U29" s="157">
        <v>713307454</v>
      </c>
      <c r="V29" s="157">
        <v>1320205273</v>
      </c>
      <c r="W29" s="165">
        <v>1320205273</v>
      </c>
      <c r="X29" s="256">
        <v>-19.899999999999999</v>
      </c>
      <c r="Y29" s="162">
        <v>-1.1000000000000001</v>
      </c>
      <c r="Z29" s="162">
        <v>12</v>
      </c>
      <c r="AA29" s="163">
        <v>12</v>
      </c>
      <c r="AB29" s="157">
        <v>-70129710</v>
      </c>
      <c r="AC29" s="157">
        <v>13665831</v>
      </c>
      <c r="AD29" s="165">
        <v>13665831</v>
      </c>
      <c r="AE29" s="162">
        <v>-97.6</v>
      </c>
      <c r="AF29" s="162">
        <v>44.8</v>
      </c>
      <c r="AG29" s="163">
        <v>44.8</v>
      </c>
      <c r="AH29" s="125">
        <v>271237</v>
      </c>
      <c r="AI29" s="125">
        <v>732522</v>
      </c>
      <c r="AJ29" s="132">
        <v>732522</v>
      </c>
      <c r="AK29" s="139">
        <v>-21.6</v>
      </c>
      <c r="AL29" s="139">
        <v>17</v>
      </c>
      <c r="AM29" s="142">
        <v>17</v>
      </c>
      <c r="AN29" s="396">
        <v>61.400000000000006</v>
      </c>
    </row>
    <row r="30" spans="2:40" ht="23.25" customHeight="1">
      <c r="B30" s="5">
        <v>5</v>
      </c>
      <c r="C30" s="2" t="s">
        <v>12</v>
      </c>
      <c r="D30" s="216">
        <v>3000000000</v>
      </c>
      <c r="E30" s="271">
        <v>25</v>
      </c>
      <c r="F30" s="182">
        <v>0.48099999999999998</v>
      </c>
      <c r="G30" s="183">
        <v>25284</v>
      </c>
      <c r="H30" s="184">
        <v>15523306</v>
      </c>
      <c r="I30" s="164">
        <v>16262</v>
      </c>
      <c r="J30" s="155">
        <v>24743</v>
      </c>
      <c r="K30" s="155">
        <v>29969</v>
      </c>
      <c r="L30" s="155">
        <v>39655</v>
      </c>
      <c r="M30" s="156">
        <v>39655</v>
      </c>
      <c r="N30" s="164">
        <v>37</v>
      </c>
      <c r="O30" s="155">
        <v>40</v>
      </c>
      <c r="P30" s="155">
        <v>44</v>
      </c>
      <c r="Q30" s="155">
        <v>54</v>
      </c>
      <c r="R30" s="170">
        <v>54</v>
      </c>
      <c r="S30" s="164">
        <v>3980715270</v>
      </c>
      <c r="T30" s="155">
        <v>4274310530</v>
      </c>
      <c r="U30" s="155">
        <v>4777451080</v>
      </c>
      <c r="V30" s="155">
        <v>5274622200</v>
      </c>
      <c r="W30" s="170">
        <v>5274622200</v>
      </c>
      <c r="X30" s="255">
        <v>-3.2</v>
      </c>
      <c r="Y30" s="160">
        <v>1.9</v>
      </c>
      <c r="Z30" s="160">
        <v>6.7</v>
      </c>
      <c r="AA30" s="169">
        <v>6.7</v>
      </c>
      <c r="AB30" s="155">
        <v>23488601</v>
      </c>
      <c r="AC30" s="155">
        <v>146366256</v>
      </c>
      <c r="AD30" s="170">
        <v>146366256</v>
      </c>
      <c r="AE30" s="160">
        <v>-75.2</v>
      </c>
      <c r="AF30" s="160">
        <v>8.8000000000000007</v>
      </c>
      <c r="AG30" s="169">
        <v>8.8000000000000007</v>
      </c>
      <c r="AH30" s="3">
        <v>507372</v>
      </c>
      <c r="AI30" s="3">
        <v>638222</v>
      </c>
      <c r="AJ30" s="130">
        <v>638222</v>
      </c>
      <c r="AK30" s="6">
        <v>-5.5</v>
      </c>
      <c r="AL30" s="6">
        <v>2.9</v>
      </c>
      <c r="AM30" s="144">
        <v>2.9</v>
      </c>
      <c r="AN30" s="396">
        <v>44</v>
      </c>
    </row>
    <row r="31" spans="2:40" ht="23.25" customHeight="1">
      <c r="B31" s="5">
        <v>6</v>
      </c>
      <c r="C31" s="2" t="s">
        <v>1</v>
      </c>
      <c r="D31" s="216">
        <v>8000000000</v>
      </c>
      <c r="E31" s="271">
        <v>26</v>
      </c>
      <c r="F31" s="182">
        <v>0.57099999999999995</v>
      </c>
      <c r="G31" s="183">
        <v>13249</v>
      </c>
      <c r="H31" s="184">
        <v>40311750</v>
      </c>
      <c r="I31" s="164">
        <v>11871</v>
      </c>
      <c r="J31" s="155">
        <v>13249</v>
      </c>
      <c r="K31" s="155">
        <v>14977</v>
      </c>
      <c r="L31" s="155">
        <v>18433</v>
      </c>
      <c r="M31" s="156">
        <v>18433</v>
      </c>
      <c r="N31" s="168">
        <v>3</v>
      </c>
      <c r="O31" s="157">
        <v>5</v>
      </c>
      <c r="P31" s="157">
        <v>9</v>
      </c>
      <c r="Q31" s="157">
        <v>21</v>
      </c>
      <c r="R31" s="165">
        <v>21</v>
      </c>
      <c r="S31" s="168">
        <v>176902170</v>
      </c>
      <c r="T31" s="157">
        <v>380984389</v>
      </c>
      <c r="U31" s="157">
        <v>713307454</v>
      </c>
      <c r="V31" s="157">
        <v>1320205273</v>
      </c>
      <c r="W31" s="165">
        <v>1320205273</v>
      </c>
      <c r="X31" s="256">
        <v>-19.899999999999999</v>
      </c>
      <c r="Y31" s="162">
        <v>-1.1000000000000001</v>
      </c>
      <c r="Z31" s="162">
        <v>12</v>
      </c>
      <c r="AA31" s="163">
        <v>12</v>
      </c>
      <c r="AB31" s="157">
        <v>-70129710</v>
      </c>
      <c r="AC31" s="157">
        <v>13665831</v>
      </c>
      <c r="AD31" s="165">
        <v>13665831</v>
      </c>
      <c r="AE31" s="162">
        <v>-97.6</v>
      </c>
      <c r="AF31" s="162">
        <v>44.8</v>
      </c>
      <c r="AG31" s="163">
        <v>44.8</v>
      </c>
      <c r="AH31" s="125">
        <v>271237</v>
      </c>
      <c r="AI31" s="125">
        <v>732522</v>
      </c>
      <c r="AJ31" s="132">
        <v>732522</v>
      </c>
      <c r="AK31" s="139">
        <v>-21.6</v>
      </c>
      <c r="AL31" s="139">
        <v>17</v>
      </c>
      <c r="AM31" s="142">
        <v>17</v>
      </c>
      <c r="AN31" s="396">
        <v>61.485714285714302</v>
      </c>
    </row>
    <row r="32" spans="2:40" ht="23.25" customHeight="1">
      <c r="B32" s="5">
        <v>7</v>
      </c>
      <c r="C32" s="2" t="s">
        <v>16</v>
      </c>
      <c r="D32" s="216">
        <v>5000000000</v>
      </c>
      <c r="E32" s="271">
        <v>27</v>
      </c>
      <c r="F32" s="182">
        <v>0.52400000000000002</v>
      </c>
      <c r="G32" s="183">
        <v>12673</v>
      </c>
      <c r="H32" s="184">
        <v>19378860</v>
      </c>
      <c r="I32" s="164">
        <v>11870</v>
      </c>
      <c r="J32" s="155">
        <v>12855</v>
      </c>
      <c r="K32" s="155">
        <v>14742</v>
      </c>
      <c r="L32" s="155">
        <v>17860</v>
      </c>
      <c r="M32" s="156">
        <v>17860</v>
      </c>
      <c r="N32" s="164">
        <v>9</v>
      </c>
      <c r="O32" s="155">
        <v>23</v>
      </c>
      <c r="P32" s="155">
        <v>43</v>
      </c>
      <c r="Q32" s="155">
        <v>60</v>
      </c>
      <c r="R32" s="170">
        <v>60</v>
      </c>
      <c r="S32" s="164">
        <v>5958580630</v>
      </c>
      <c r="T32" s="155">
        <v>7366783674</v>
      </c>
      <c r="U32" s="155">
        <v>9559217522</v>
      </c>
      <c r="V32" s="155">
        <v>16593811470</v>
      </c>
      <c r="W32" s="170">
        <v>16593811470</v>
      </c>
      <c r="X32" s="255">
        <v>-3</v>
      </c>
      <c r="Y32" s="160">
        <v>-0.6</v>
      </c>
      <c r="Z32" s="160">
        <v>6</v>
      </c>
      <c r="AA32" s="169">
        <v>6</v>
      </c>
      <c r="AB32" s="155">
        <v>-134729300</v>
      </c>
      <c r="AC32" s="155">
        <v>147840109</v>
      </c>
      <c r="AD32" s="170">
        <v>147840109</v>
      </c>
      <c r="AE32" s="160">
        <v>-51.5</v>
      </c>
      <c r="AF32" s="160">
        <v>14.1</v>
      </c>
      <c r="AG32" s="169">
        <v>14.1</v>
      </c>
      <c r="AH32" s="3">
        <v>1010790</v>
      </c>
      <c r="AI32" s="3">
        <v>2609938</v>
      </c>
      <c r="AJ32" s="130">
        <v>2609938</v>
      </c>
      <c r="AK32" s="6">
        <v>-7.8</v>
      </c>
      <c r="AL32" s="6">
        <v>8.4</v>
      </c>
      <c r="AM32" s="144">
        <v>8.4</v>
      </c>
      <c r="AN32" s="396">
        <v>51.3217391304348</v>
      </c>
    </row>
    <row r="33" spans="2:40" ht="23.25" customHeight="1">
      <c r="B33" s="5">
        <v>8</v>
      </c>
      <c r="C33" s="2" t="s">
        <v>13</v>
      </c>
      <c r="D33" s="216">
        <v>8000000000</v>
      </c>
      <c r="E33" s="271">
        <v>28</v>
      </c>
      <c r="F33" s="182">
        <v>0.66700000000000004</v>
      </c>
      <c r="G33" s="183">
        <v>13422</v>
      </c>
      <c r="H33" s="184">
        <v>2710424</v>
      </c>
      <c r="I33" s="164">
        <v>11636</v>
      </c>
      <c r="J33" s="155">
        <v>12142</v>
      </c>
      <c r="K33" s="155">
        <v>16129</v>
      </c>
      <c r="L33" s="155">
        <v>19724</v>
      </c>
      <c r="M33" s="156">
        <v>19724</v>
      </c>
      <c r="N33" s="168">
        <v>3</v>
      </c>
      <c r="O33" s="157">
        <v>5</v>
      </c>
      <c r="P33" s="157">
        <v>9</v>
      </c>
      <c r="Q33" s="157">
        <v>21</v>
      </c>
      <c r="R33" s="165">
        <v>21</v>
      </c>
      <c r="S33" s="168">
        <v>176902170</v>
      </c>
      <c r="T33" s="157">
        <v>380984389</v>
      </c>
      <c r="U33" s="157">
        <v>713307454</v>
      </c>
      <c r="V33" s="157">
        <v>1320205273</v>
      </c>
      <c r="W33" s="165">
        <v>1320205273</v>
      </c>
      <c r="X33" s="256">
        <v>-19.899999999999999</v>
      </c>
      <c r="Y33" s="162">
        <v>-1.1000000000000001</v>
      </c>
      <c r="Z33" s="162">
        <v>12</v>
      </c>
      <c r="AA33" s="163">
        <v>12</v>
      </c>
      <c r="AB33" s="157">
        <v>-70129710</v>
      </c>
      <c r="AC33" s="157">
        <v>13665831</v>
      </c>
      <c r="AD33" s="165">
        <v>13665831</v>
      </c>
      <c r="AE33" s="162">
        <v>-97.6</v>
      </c>
      <c r="AF33" s="162">
        <v>44.8</v>
      </c>
      <c r="AG33" s="163">
        <v>44.8</v>
      </c>
      <c r="AH33" s="125">
        <v>271237</v>
      </c>
      <c r="AI33" s="125">
        <v>732522</v>
      </c>
      <c r="AJ33" s="132">
        <v>732522</v>
      </c>
      <c r="AK33" s="139">
        <v>-21.6</v>
      </c>
      <c r="AL33" s="139">
        <v>17</v>
      </c>
      <c r="AM33" s="142">
        <v>17</v>
      </c>
      <c r="AN33" s="396">
        <v>64.8</v>
      </c>
    </row>
    <row r="34" spans="2:40" ht="23.25" customHeight="1">
      <c r="B34" s="5">
        <v>9</v>
      </c>
      <c r="C34" s="2" t="s">
        <v>14</v>
      </c>
      <c r="D34" s="216">
        <v>1000000000</v>
      </c>
      <c r="E34" s="271">
        <v>29</v>
      </c>
      <c r="F34" s="182">
        <v>0.6</v>
      </c>
      <c r="G34" s="183">
        <v>12289</v>
      </c>
      <c r="H34" s="184">
        <v>5702732</v>
      </c>
      <c r="I34" s="164">
        <v>11636</v>
      </c>
      <c r="J34" s="155">
        <v>12245</v>
      </c>
      <c r="K34" s="155">
        <v>13631</v>
      </c>
      <c r="L34" s="155">
        <v>16008</v>
      </c>
      <c r="M34" s="156">
        <v>16008</v>
      </c>
      <c r="N34" s="164">
        <v>14</v>
      </c>
      <c r="O34" s="155">
        <v>25</v>
      </c>
      <c r="P34" s="155">
        <v>41</v>
      </c>
      <c r="Q34" s="155">
        <v>71</v>
      </c>
      <c r="R34" s="170">
        <v>71</v>
      </c>
      <c r="S34" s="164">
        <v>1297282099</v>
      </c>
      <c r="T34" s="155">
        <v>1722973028</v>
      </c>
      <c r="U34" s="155">
        <v>2732199382</v>
      </c>
      <c r="V34" s="155">
        <v>4353084157</v>
      </c>
      <c r="W34" s="170">
        <v>4353084157</v>
      </c>
      <c r="X34" s="255">
        <v>3.8</v>
      </c>
      <c r="Y34" s="160">
        <v>10.7</v>
      </c>
      <c r="Z34" s="160">
        <v>23.4</v>
      </c>
      <c r="AA34" s="169">
        <v>23.4</v>
      </c>
      <c r="AB34" s="155">
        <v>-165959733</v>
      </c>
      <c r="AC34" s="155">
        <v>54611586</v>
      </c>
      <c r="AD34" s="170">
        <v>54611586</v>
      </c>
      <c r="AE34" s="160">
        <v>-43.8</v>
      </c>
      <c r="AF34" s="160">
        <v>82.1</v>
      </c>
      <c r="AG34" s="169">
        <v>82.1</v>
      </c>
      <c r="AH34" s="3">
        <v>361156</v>
      </c>
      <c r="AI34" s="3">
        <v>499282</v>
      </c>
      <c r="AJ34" s="130">
        <v>499282</v>
      </c>
      <c r="AK34" s="6">
        <v>-13.2</v>
      </c>
      <c r="AL34" s="6">
        <v>12.4</v>
      </c>
      <c r="AM34" s="144">
        <v>12.4</v>
      </c>
      <c r="AN34" s="396">
        <v>52.466666666666669</v>
      </c>
    </row>
    <row r="35" spans="2:40" ht="23.25" customHeight="1">
      <c r="B35" s="5">
        <v>10</v>
      </c>
      <c r="C35" s="2" t="s">
        <v>17</v>
      </c>
      <c r="D35" s="216">
        <v>5000000000</v>
      </c>
      <c r="E35" s="271">
        <v>30</v>
      </c>
      <c r="F35" s="182">
        <v>0.45700000000000002</v>
      </c>
      <c r="G35" s="183">
        <v>12673</v>
      </c>
      <c r="H35" s="184">
        <v>16155676</v>
      </c>
      <c r="I35" s="164">
        <v>12097</v>
      </c>
      <c r="J35" s="155">
        <v>13249</v>
      </c>
      <c r="K35" s="155">
        <v>15121</v>
      </c>
      <c r="L35" s="155">
        <v>20057</v>
      </c>
      <c r="M35" s="156">
        <v>20057</v>
      </c>
      <c r="N35" s="168">
        <v>3</v>
      </c>
      <c r="O35" s="157">
        <v>5</v>
      </c>
      <c r="P35" s="157">
        <v>9</v>
      </c>
      <c r="Q35" s="157">
        <v>21</v>
      </c>
      <c r="R35" s="165">
        <v>21</v>
      </c>
      <c r="S35" s="168">
        <v>176902170</v>
      </c>
      <c r="T35" s="157">
        <v>380984389</v>
      </c>
      <c r="U35" s="157">
        <v>713307454</v>
      </c>
      <c r="V35" s="157">
        <v>1320205273</v>
      </c>
      <c r="W35" s="165">
        <v>1320205273</v>
      </c>
      <c r="X35" s="256">
        <v>-19.899999999999999</v>
      </c>
      <c r="Y35" s="162">
        <v>-1.1000000000000001</v>
      </c>
      <c r="Z35" s="162">
        <v>12</v>
      </c>
      <c r="AA35" s="163">
        <v>12</v>
      </c>
      <c r="AB35" s="157">
        <v>-70129710</v>
      </c>
      <c r="AC35" s="157">
        <v>13665831</v>
      </c>
      <c r="AD35" s="165">
        <v>13665831</v>
      </c>
      <c r="AE35" s="162">
        <v>-97.6</v>
      </c>
      <c r="AF35" s="162">
        <v>44.8</v>
      </c>
      <c r="AG35" s="163">
        <v>44.8</v>
      </c>
      <c r="AH35" s="125">
        <v>271237</v>
      </c>
      <c r="AI35" s="125">
        <v>732522</v>
      </c>
      <c r="AJ35" s="132">
        <v>732522</v>
      </c>
      <c r="AK35" s="139">
        <v>-21.6</v>
      </c>
      <c r="AL35" s="139">
        <v>17</v>
      </c>
      <c r="AM35" s="142">
        <v>17</v>
      </c>
      <c r="AN35" s="396">
        <v>46.771428571428565</v>
      </c>
    </row>
    <row r="36" spans="2:40" ht="23.25" customHeight="1">
      <c r="B36" s="5">
        <v>11</v>
      </c>
      <c r="C36" s="2" t="s">
        <v>18</v>
      </c>
      <c r="D36" s="216">
        <v>8000000000</v>
      </c>
      <c r="E36" s="271">
        <v>31</v>
      </c>
      <c r="F36" s="186">
        <v>0.66200000000000003</v>
      </c>
      <c r="G36" s="187">
        <v>12743</v>
      </c>
      <c r="H36" s="188">
        <v>18007103</v>
      </c>
      <c r="I36" s="168">
        <v>11636</v>
      </c>
      <c r="J36" s="157">
        <v>12650</v>
      </c>
      <c r="K36" s="157">
        <v>14169</v>
      </c>
      <c r="L36" s="157">
        <v>17446</v>
      </c>
      <c r="M36" s="158">
        <v>17446</v>
      </c>
      <c r="N36" s="168">
        <v>3</v>
      </c>
      <c r="O36" s="157">
        <v>5</v>
      </c>
      <c r="P36" s="157">
        <v>9</v>
      </c>
      <c r="Q36" s="157">
        <v>21</v>
      </c>
      <c r="R36" s="165">
        <v>21</v>
      </c>
      <c r="S36" s="168">
        <v>176902170</v>
      </c>
      <c r="T36" s="157">
        <v>380984389</v>
      </c>
      <c r="U36" s="157">
        <v>713307454</v>
      </c>
      <c r="V36" s="157">
        <v>1320205273</v>
      </c>
      <c r="W36" s="165">
        <v>1320205273</v>
      </c>
      <c r="X36" s="256">
        <v>-19.899999999999999</v>
      </c>
      <c r="Y36" s="162">
        <v>-1.1000000000000001</v>
      </c>
      <c r="Z36" s="162">
        <v>12</v>
      </c>
      <c r="AA36" s="163">
        <v>12</v>
      </c>
      <c r="AB36" s="157">
        <v>-70129710</v>
      </c>
      <c r="AC36" s="157">
        <v>13665831</v>
      </c>
      <c r="AD36" s="165">
        <v>13665831</v>
      </c>
      <c r="AE36" s="162">
        <v>-97.6</v>
      </c>
      <c r="AF36" s="162">
        <v>44.8</v>
      </c>
      <c r="AG36" s="163">
        <v>44.8</v>
      </c>
      <c r="AH36" s="125">
        <v>271237</v>
      </c>
      <c r="AI36" s="125">
        <v>732522</v>
      </c>
      <c r="AJ36" s="132">
        <v>732522</v>
      </c>
      <c r="AK36" s="139">
        <v>-21.6</v>
      </c>
      <c r="AL36" s="139">
        <v>17</v>
      </c>
      <c r="AM36" s="142">
        <v>17</v>
      </c>
      <c r="AN36" s="396">
        <v>54.9</v>
      </c>
    </row>
    <row r="37" spans="2:40" ht="23.25" customHeight="1">
      <c r="B37" s="5">
        <v>12</v>
      </c>
      <c r="C37" s="2" t="s">
        <v>19</v>
      </c>
      <c r="D37" s="216">
        <v>3000000000</v>
      </c>
      <c r="E37" s="271">
        <v>32</v>
      </c>
      <c r="F37" s="182">
        <v>0.443</v>
      </c>
      <c r="G37" s="183">
        <v>12667</v>
      </c>
      <c r="H37" s="184">
        <v>9458750</v>
      </c>
      <c r="I37" s="164">
        <v>12289</v>
      </c>
      <c r="J37" s="155">
        <v>14008</v>
      </c>
      <c r="K37" s="155">
        <v>15956</v>
      </c>
      <c r="L37" s="155">
        <v>19009</v>
      </c>
      <c r="M37" s="156">
        <v>19009</v>
      </c>
      <c r="N37" s="168">
        <v>3</v>
      </c>
      <c r="O37" s="157">
        <v>5</v>
      </c>
      <c r="P37" s="157">
        <v>9</v>
      </c>
      <c r="Q37" s="157">
        <v>21</v>
      </c>
      <c r="R37" s="165">
        <v>21</v>
      </c>
      <c r="S37" s="168">
        <v>176902170</v>
      </c>
      <c r="T37" s="157">
        <v>380984389</v>
      </c>
      <c r="U37" s="157">
        <v>713307454</v>
      </c>
      <c r="V37" s="157">
        <v>1320205273</v>
      </c>
      <c r="W37" s="165">
        <v>1320205273</v>
      </c>
      <c r="X37" s="256">
        <v>-19.899999999999999</v>
      </c>
      <c r="Y37" s="162">
        <v>-1.1000000000000001</v>
      </c>
      <c r="Z37" s="162">
        <v>12</v>
      </c>
      <c r="AA37" s="163">
        <v>12</v>
      </c>
      <c r="AB37" s="157">
        <v>-70129710</v>
      </c>
      <c r="AC37" s="157">
        <v>13665831</v>
      </c>
      <c r="AD37" s="165">
        <v>13665831</v>
      </c>
      <c r="AE37" s="162">
        <v>-97.6</v>
      </c>
      <c r="AF37" s="162">
        <v>44.8</v>
      </c>
      <c r="AG37" s="163">
        <v>44.8</v>
      </c>
      <c r="AH37" s="125">
        <v>271237</v>
      </c>
      <c r="AI37" s="125">
        <v>732522</v>
      </c>
      <c r="AJ37" s="132">
        <v>732522</v>
      </c>
      <c r="AK37" s="139">
        <v>-21.6</v>
      </c>
      <c r="AL37" s="139">
        <v>17</v>
      </c>
      <c r="AM37" s="142">
        <v>17</v>
      </c>
      <c r="AN37" s="396">
        <v>61.8</v>
      </c>
    </row>
    <row r="38" spans="2:40" ht="23.25" customHeight="1">
      <c r="B38" s="5">
        <v>13</v>
      </c>
      <c r="C38" s="2" t="s">
        <v>20</v>
      </c>
      <c r="D38" s="216">
        <v>3000000000</v>
      </c>
      <c r="E38" s="271">
        <v>33</v>
      </c>
      <c r="F38" s="182">
        <v>0.48</v>
      </c>
      <c r="G38" s="183">
        <v>13326</v>
      </c>
      <c r="H38" s="184">
        <v>9854065</v>
      </c>
      <c r="I38" s="164">
        <v>12133</v>
      </c>
      <c r="J38" s="155">
        <v>14401</v>
      </c>
      <c r="K38" s="155">
        <v>16417</v>
      </c>
      <c r="L38" s="155">
        <v>21324</v>
      </c>
      <c r="M38" s="156">
        <v>21324</v>
      </c>
      <c r="N38" s="164">
        <v>23</v>
      </c>
      <c r="O38" s="155">
        <v>43</v>
      </c>
      <c r="P38" s="155">
        <v>48</v>
      </c>
      <c r="Q38" s="155">
        <v>60</v>
      </c>
      <c r="R38" s="170">
        <v>60</v>
      </c>
      <c r="S38" s="164">
        <v>3464136543</v>
      </c>
      <c r="T38" s="155">
        <v>4177739975</v>
      </c>
      <c r="U38" s="155">
        <v>6639208218</v>
      </c>
      <c r="V38" s="155">
        <v>8137703091</v>
      </c>
      <c r="W38" s="170">
        <v>8137703091</v>
      </c>
      <c r="X38" s="255">
        <v>-21.6</v>
      </c>
      <c r="Y38" s="160">
        <v>4.3</v>
      </c>
      <c r="Z38" s="160">
        <v>27.3</v>
      </c>
      <c r="AA38" s="169">
        <v>27.3</v>
      </c>
      <c r="AB38" s="155">
        <v>-358960102</v>
      </c>
      <c r="AC38" s="155">
        <v>152792741</v>
      </c>
      <c r="AD38" s="170">
        <v>152792741</v>
      </c>
      <c r="AE38" s="160">
        <v>-474.9</v>
      </c>
      <c r="AF38" s="160">
        <v>-39.5</v>
      </c>
      <c r="AG38" s="169">
        <v>-39.5</v>
      </c>
      <c r="AH38" s="3">
        <v>362187</v>
      </c>
      <c r="AI38" s="3">
        <v>638955</v>
      </c>
      <c r="AJ38" s="130">
        <v>638955</v>
      </c>
      <c r="AK38" s="6">
        <v>-28.2</v>
      </c>
      <c r="AL38" s="6">
        <v>17.5</v>
      </c>
      <c r="AM38" s="144">
        <v>17.5</v>
      </c>
      <c r="AN38" s="396">
        <v>39.08</v>
      </c>
    </row>
    <row r="39" spans="2:40" ht="23.25" customHeight="1">
      <c r="B39" s="5">
        <v>14</v>
      </c>
      <c r="C39" s="2" t="s">
        <v>28</v>
      </c>
      <c r="D39" s="216">
        <v>3000000000</v>
      </c>
      <c r="E39" s="271">
        <v>34</v>
      </c>
      <c r="F39" s="182">
        <v>0.77800000000000002</v>
      </c>
      <c r="G39" s="183">
        <v>12964</v>
      </c>
      <c r="H39" s="184">
        <v>8879337</v>
      </c>
      <c r="I39" s="164">
        <v>11636</v>
      </c>
      <c r="J39" s="155">
        <v>12677</v>
      </c>
      <c r="K39" s="155">
        <v>14069</v>
      </c>
      <c r="L39" s="155">
        <v>16643</v>
      </c>
      <c r="M39" s="156">
        <v>16643</v>
      </c>
      <c r="N39" s="164">
        <v>60</v>
      </c>
      <c r="O39" s="155">
        <v>124</v>
      </c>
      <c r="P39" s="155">
        <v>200</v>
      </c>
      <c r="Q39" s="155">
        <v>362</v>
      </c>
      <c r="R39" s="170">
        <v>362</v>
      </c>
      <c r="S39" s="164">
        <v>3688566152</v>
      </c>
      <c r="T39" s="155">
        <v>5212455979</v>
      </c>
      <c r="U39" s="155">
        <v>7495381951</v>
      </c>
      <c r="V39" s="155">
        <v>11927318964</v>
      </c>
      <c r="W39" s="170">
        <v>11927318964</v>
      </c>
      <c r="X39" s="255">
        <v>4.3</v>
      </c>
      <c r="Y39" s="160">
        <v>8.5</v>
      </c>
      <c r="Z39" s="160">
        <v>20.8</v>
      </c>
      <c r="AA39" s="169">
        <v>20.8</v>
      </c>
      <c r="AB39" s="155">
        <v>7887901</v>
      </c>
      <c r="AC39" s="155">
        <v>210492685</v>
      </c>
      <c r="AD39" s="170">
        <v>210492685</v>
      </c>
      <c r="AE39" s="160">
        <v>-44.9</v>
      </c>
      <c r="AF39" s="160">
        <v>87.6</v>
      </c>
      <c r="AG39" s="169">
        <v>87.6</v>
      </c>
      <c r="AH39" s="3">
        <v>222664</v>
      </c>
      <c r="AI39" s="3">
        <v>418524</v>
      </c>
      <c r="AJ39" s="130">
        <v>418524</v>
      </c>
      <c r="AK39" s="6">
        <v>1</v>
      </c>
      <c r="AL39" s="6">
        <v>19.100000000000001</v>
      </c>
      <c r="AM39" s="144">
        <v>19.100000000000001</v>
      </c>
      <c r="AN39" s="396">
        <v>61.234782608695646</v>
      </c>
    </row>
    <row r="40" spans="2:40" ht="23.25" customHeight="1">
      <c r="B40" s="5">
        <v>16</v>
      </c>
      <c r="C40" s="2" t="s">
        <v>21</v>
      </c>
      <c r="D40" s="216">
        <v>1000000000</v>
      </c>
      <c r="E40" s="271">
        <v>35</v>
      </c>
      <c r="F40" s="182">
        <v>0.5</v>
      </c>
      <c r="G40" s="183">
        <v>12385</v>
      </c>
      <c r="H40" s="184">
        <v>27287319</v>
      </c>
      <c r="I40" s="164">
        <v>11820</v>
      </c>
      <c r="J40" s="155">
        <v>12757</v>
      </c>
      <c r="K40" s="155">
        <v>14323</v>
      </c>
      <c r="L40" s="155">
        <v>17667</v>
      </c>
      <c r="M40" s="156">
        <v>17667</v>
      </c>
      <c r="N40" s="164">
        <v>9</v>
      </c>
      <c r="O40" s="155">
        <v>12</v>
      </c>
      <c r="P40" s="155">
        <v>19</v>
      </c>
      <c r="Q40" s="155">
        <v>27</v>
      </c>
      <c r="R40" s="170">
        <v>27</v>
      </c>
      <c r="S40" s="164">
        <v>1134698911</v>
      </c>
      <c r="T40" s="155">
        <v>1439358825</v>
      </c>
      <c r="U40" s="155">
        <v>2550176155</v>
      </c>
      <c r="V40" s="155">
        <v>4656702702</v>
      </c>
      <c r="W40" s="170">
        <v>4656702702</v>
      </c>
      <c r="X40" s="255">
        <v>0</v>
      </c>
      <c r="Y40" s="160">
        <v>15</v>
      </c>
      <c r="Z40" s="160">
        <v>30.4</v>
      </c>
      <c r="AA40" s="169">
        <v>30.4</v>
      </c>
      <c r="AB40" s="155">
        <v>-120347138</v>
      </c>
      <c r="AC40" s="155">
        <v>43007035</v>
      </c>
      <c r="AD40" s="170">
        <v>43007035</v>
      </c>
      <c r="AE40" s="160">
        <v>-108.8</v>
      </c>
      <c r="AF40" s="160">
        <v>86.4</v>
      </c>
      <c r="AG40" s="169">
        <v>86.4</v>
      </c>
      <c r="AH40" s="3">
        <v>246710</v>
      </c>
      <c r="AI40" s="3">
        <v>546209</v>
      </c>
      <c r="AJ40" s="130">
        <v>546209</v>
      </c>
      <c r="AK40" s="6">
        <v>-8.1</v>
      </c>
      <c r="AL40" s="6">
        <v>29.3</v>
      </c>
      <c r="AM40" s="144">
        <v>29.3</v>
      </c>
      <c r="AN40" s="396">
        <v>53.986440677966122</v>
      </c>
    </row>
    <row r="41" spans="2:40" ht="23.25" customHeight="1">
      <c r="B41" s="5">
        <v>17</v>
      </c>
      <c r="C41" s="2" t="s">
        <v>22</v>
      </c>
      <c r="D41" s="216">
        <v>1000000000</v>
      </c>
      <c r="E41" s="271">
        <v>36</v>
      </c>
      <c r="F41" s="182">
        <v>0.75700000000000001</v>
      </c>
      <c r="G41" s="183">
        <v>13047</v>
      </c>
      <c r="H41" s="184">
        <v>51139573</v>
      </c>
      <c r="I41" s="164">
        <v>11587</v>
      </c>
      <c r="J41" s="155">
        <v>12579</v>
      </c>
      <c r="K41" s="155">
        <v>13549</v>
      </c>
      <c r="L41" s="155">
        <v>15702</v>
      </c>
      <c r="M41" s="156">
        <v>15702</v>
      </c>
      <c r="N41" s="164">
        <v>37</v>
      </c>
      <c r="O41" s="155">
        <v>60</v>
      </c>
      <c r="P41" s="155">
        <v>94</v>
      </c>
      <c r="Q41" s="155">
        <v>237</v>
      </c>
      <c r="R41" s="170">
        <v>237</v>
      </c>
      <c r="S41" s="164">
        <v>1285586609</v>
      </c>
      <c r="T41" s="155">
        <v>1787845135</v>
      </c>
      <c r="U41" s="155">
        <v>2947194790</v>
      </c>
      <c r="V41" s="155">
        <v>6114624475</v>
      </c>
      <c r="W41" s="170">
        <v>6114624475</v>
      </c>
      <c r="X41" s="255">
        <v>-2.2000000000000002</v>
      </c>
      <c r="Y41" s="160">
        <v>6.8</v>
      </c>
      <c r="Z41" s="160">
        <v>13.1</v>
      </c>
      <c r="AA41" s="169">
        <v>13.1</v>
      </c>
      <c r="AB41" s="155">
        <v>-83427223</v>
      </c>
      <c r="AC41" s="155">
        <v>37887846</v>
      </c>
      <c r="AD41" s="170">
        <v>37887846</v>
      </c>
      <c r="AE41" s="160">
        <v>-111.5</v>
      </c>
      <c r="AF41" s="160">
        <v>33.1</v>
      </c>
      <c r="AG41" s="169">
        <v>33.1</v>
      </c>
      <c r="AH41" s="3">
        <v>186575</v>
      </c>
      <c r="AI41" s="3">
        <v>322835</v>
      </c>
      <c r="AJ41" s="130">
        <v>322835</v>
      </c>
      <c r="AK41" s="6">
        <v>-5.5</v>
      </c>
      <c r="AL41" s="6">
        <v>10.1</v>
      </c>
      <c r="AM41" s="144">
        <v>10.1</v>
      </c>
      <c r="AN41" s="396">
        <v>61.656000000000013</v>
      </c>
    </row>
    <row r="42" spans="2:40" ht="23.25" customHeight="1">
      <c r="B42" s="5">
        <v>18</v>
      </c>
      <c r="C42" s="2" t="s">
        <v>23</v>
      </c>
      <c r="D42" s="216">
        <v>3000000000</v>
      </c>
      <c r="E42" s="271">
        <v>37</v>
      </c>
      <c r="F42" s="182">
        <v>0.42899999999999999</v>
      </c>
      <c r="G42" s="183">
        <v>12565</v>
      </c>
      <c r="H42" s="184">
        <v>12953605</v>
      </c>
      <c r="I42" s="164">
        <v>11636</v>
      </c>
      <c r="J42" s="155">
        <v>12289</v>
      </c>
      <c r="K42" s="155">
        <v>13825</v>
      </c>
      <c r="L42" s="155">
        <v>16475</v>
      </c>
      <c r="M42" s="156">
        <v>16475</v>
      </c>
      <c r="N42" s="164">
        <v>16</v>
      </c>
      <c r="O42" s="155">
        <v>17</v>
      </c>
      <c r="P42" s="155">
        <v>23</v>
      </c>
      <c r="Q42" s="155">
        <v>29</v>
      </c>
      <c r="R42" s="170">
        <v>29</v>
      </c>
      <c r="S42" s="164">
        <v>3623833712</v>
      </c>
      <c r="T42" s="155">
        <v>3897789964</v>
      </c>
      <c r="U42" s="155">
        <v>4610737507</v>
      </c>
      <c r="V42" s="155">
        <v>5853186126</v>
      </c>
      <c r="W42" s="170">
        <v>5853186126</v>
      </c>
      <c r="X42" s="255">
        <v>-0.5</v>
      </c>
      <c r="Y42" s="160">
        <v>6.3</v>
      </c>
      <c r="Z42" s="160">
        <v>28.3</v>
      </c>
      <c r="AA42" s="169">
        <v>28.3</v>
      </c>
      <c r="AB42" s="155">
        <v>-429611165</v>
      </c>
      <c r="AC42" s="155">
        <v>-52475096</v>
      </c>
      <c r="AD42" s="170">
        <v>-52475096</v>
      </c>
      <c r="AE42" s="160">
        <v>-95.1</v>
      </c>
      <c r="AF42" s="160">
        <v>81.900000000000006</v>
      </c>
      <c r="AG42" s="169">
        <v>81.900000000000006</v>
      </c>
      <c r="AH42" s="3">
        <v>239960</v>
      </c>
      <c r="AI42" s="3">
        <v>680508</v>
      </c>
      <c r="AJ42" s="130">
        <v>680508</v>
      </c>
      <c r="AK42" s="6">
        <v>-30.5</v>
      </c>
      <c r="AL42" s="6">
        <v>11.6</v>
      </c>
      <c r="AM42" s="144">
        <v>11.6</v>
      </c>
      <c r="AN42" s="396">
        <v>49.79999999999999</v>
      </c>
    </row>
    <row r="43" spans="2:40" ht="23.25" customHeight="1" thickBot="1">
      <c r="B43" s="199">
        <v>19</v>
      </c>
      <c r="C43" s="200" t="s">
        <v>24</v>
      </c>
      <c r="D43" s="217">
        <v>1000000000</v>
      </c>
      <c r="E43" s="271">
        <v>38</v>
      </c>
      <c r="F43" s="190">
        <v>0.6</v>
      </c>
      <c r="G43" s="191">
        <v>12276</v>
      </c>
      <c r="H43" s="192">
        <v>7417702</v>
      </c>
      <c r="I43" s="193">
        <v>11582</v>
      </c>
      <c r="J43" s="194">
        <v>12097</v>
      </c>
      <c r="K43" s="194">
        <v>13057</v>
      </c>
      <c r="L43" s="194">
        <v>15186</v>
      </c>
      <c r="M43" s="195">
        <v>15186</v>
      </c>
      <c r="N43" s="193">
        <v>12</v>
      </c>
      <c r="O43" s="194">
        <v>17</v>
      </c>
      <c r="P43" s="194">
        <v>19</v>
      </c>
      <c r="Q43" s="194">
        <v>43</v>
      </c>
      <c r="R43" s="196">
        <v>43</v>
      </c>
      <c r="S43" s="164">
        <v>1133881063</v>
      </c>
      <c r="T43" s="155">
        <v>1250641943</v>
      </c>
      <c r="U43" s="155">
        <v>1522519523</v>
      </c>
      <c r="V43" s="155">
        <v>1627214834</v>
      </c>
      <c r="W43" s="170">
        <v>1627214834</v>
      </c>
      <c r="X43" s="255">
        <v>-36.700000000000003</v>
      </c>
      <c r="Y43" s="160">
        <v>-0.8</v>
      </c>
      <c r="Z43" s="160">
        <v>13.2</v>
      </c>
      <c r="AA43" s="169">
        <v>13.2</v>
      </c>
      <c r="AB43" s="155">
        <v>-307542690</v>
      </c>
      <c r="AC43" s="155">
        <v>52440236</v>
      </c>
      <c r="AD43" s="170">
        <v>52440236</v>
      </c>
      <c r="AE43" s="160">
        <v>-167.6</v>
      </c>
      <c r="AF43" s="160">
        <v>10.199999999999999</v>
      </c>
      <c r="AG43" s="169">
        <v>10.199999999999999</v>
      </c>
      <c r="AH43" s="3">
        <v>150580</v>
      </c>
      <c r="AI43" s="3">
        <v>432591</v>
      </c>
      <c r="AJ43" s="130">
        <v>432591</v>
      </c>
      <c r="AK43" s="6">
        <v>-42</v>
      </c>
      <c r="AL43" s="6">
        <v>19.5</v>
      </c>
      <c r="AM43" s="144">
        <v>19.5</v>
      </c>
      <c r="AN43" s="396">
        <v>56.333333333333336</v>
      </c>
    </row>
    <row r="44" spans="2:40" s="203" customFormat="1" ht="23.25" customHeight="1" thickBot="1">
      <c r="B44" s="205"/>
      <c r="C44" s="846" t="s">
        <v>345</v>
      </c>
      <c r="D44" s="847"/>
      <c r="E44" s="204"/>
      <c r="F44" s="198">
        <v>0.66200000000000003</v>
      </c>
      <c r="G44" s="124">
        <v>12743</v>
      </c>
      <c r="H44" s="124">
        <v>18007103</v>
      </c>
      <c r="I44" s="125">
        <v>11636</v>
      </c>
      <c r="J44" s="125">
        <v>12650</v>
      </c>
      <c r="K44" s="125">
        <v>14169</v>
      </c>
      <c r="L44" s="125">
        <v>17446</v>
      </c>
      <c r="M44" s="126">
        <v>17446</v>
      </c>
      <c r="N44" s="136">
        <v>3</v>
      </c>
      <c r="O44" s="137">
        <v>5</v>
      </c>
      <c r="P44" s="137">
        <v>9</v>
      </c>
      <c r="Q44" s="137">
        <v>21</v>
      </c>
      <c r="R44" s="138">
        <v>21</v>
      </c>
      <c r="S44" s="177">
        <v>176902170</v>
      </c>
      <c r="T44" s="178">
        <v>380984389</v>
      </c>
      <c r="U44" s="178">
        <v>713307454</v>
      </c>
      <c r="V44" s="178">
        <v>1320205273</v>
      </c>
      <c r="W44" s="180">
        <v>1320205273</v>
      </c>
      <c r="X44" s="257">
        <v>-19.899999999999999</v>
      </c>
      <c r="Y44" s="174">
        <v>-1.1000000000000001</v>
      </c>
      <c r="Z44" s="174">
        <v>12</v>
      </c>
      <c r="AA44" s="176">
        <v>12</v>
      </c>
      <c r="AB44" s="178">
        <v>-70129710</v>
      </c>
      <c r="AC44" s="178">
        <v>13665831</v>
      </c>
      <c r="AD44" s="180">
        <v>13665831</v>
      </c>
      <c r="AE44" s="174">
        <v>-97.6</v>
      </c>
      <c r="AF44" s="174">
        <v>44.8</v>
      </c>
      <c r="AG44" s="176">
        <v>44.8</v>
      </c>
      <c r="AH44" s="134">
        <v>271237</v>
      </c>
      <c r="AI44" s="134">
        <v>732522</v>
      </c>
      <c r="AJ44" s="135">
        <v>732522</v>
      </c>
      <c r="AK44" s="146">
        <v>-21.6</v>
      </c>
      <c r="AL44" s="146">
        <v>17</v>
      </c>
      <c r="AM44" s="148">
        <v>17</v>
      </c>
      <c r="AN44" s="396">
        <v>54.9</v>
      </c>
    </row>
    <row r="48" spans="2:40">
      <c r="AN48" s="203"/>
    </row>
  </sheetData>
  <sheetProtection algorithmName="SHA-512" hashValue="6tzc9XFgOGWKWwVHmcdmDF6aZGKa2k3dWUmmiTMb2VQtjZPG9KCq8a7YiTI4dFgC7Rlg6RzfkHCjXn7U4cBLzQ==" saltValue="Lcjlbu1nyBsHmR4yHZUrUw==" spinCount="100000" sheet="1" objects="1" scenarios="1"/>
  <mergeCells count="13">
    <mergeCell ref="S3:W3"/>
    <mergeCell ref="F2:G2"/>
    <mergeCell ref="I2:M2"/>
    <mergeCell ref="N3:R3"/>
    <mergeCell ref="B4:C4"/>
    <mergeCell ref="F3:G3"/>
    <mergeCell ref="I3:M3"/>
    <mergeCell ref="C23:D23"/>
    <mergeCell ref="B25:C25"/>
    <mergeCell ref="C44:D44"/>
    <mergeCell ref="N24:R24"/>
    <mergeCell ref="F24:G24"/>
    <mergeCell ref="I24:M24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워크시트</vt:lpstr>
      </vt:variant>
      <vt:variant>
        <vt:i4>8</vt:i4>
      </vt:variant>
    </vt:vector>
  </HeadingPairs>
  <TitlesOfParts>
    <vt:vector size="8" baseType="lpstr">
      <vt:lpstr>측정자 입력파일</vt:lpstr>
      <vt:lpstr>모의측정보고서(Print)</vt:lpstr>
      <vt:lpstr>컨설팅보고서(Print)</vt:lpstr>
      <vt:lpstr>DB취합</vt:lpstr>
      <vt:lpstr>지자체용</vt:lpstr>
      <vt:lpstr>보고서 데이터</vt:lpstr>
      <vt:lpstr>선택</vt:lpstr>
      <vt:lpstr>코드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&lt;C0DBBEF75FA1DA203230323420BBE7C8B8C0FBB0A1C4A1C1F6C7A5285356492920C8B0BFEBB8C5B4BABEF328C3D6C1BE295FC1F8C8EFBFF820BCF6C1A42E687770&gt;</dc:title>
  <dc:creator>&lt;BDC9BCF8C8F1&gt;</dc:creator>
  <cp:lastModifiedBy>Hwang YOU</cp:lastModifiedBy>
  <cp:lastPrinted>2025-12-23T09:29:32Z</cp:lastPrinted>
  <dcterms:created xsi:type="dcterms:W3CDTF">2024-04-25T23:46:05Z</dcterms:created>
  <dcterms:modified xsi:type="dcterms:W3CDTF">2026-01-29T09:26:44Z</dcterms:modified>
</cp:coreProperties>
</file>